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2894ac96f5e45e9/TIA/Exam_8/2014_seminar/Bailey_Simon/"/>
    </mc:Choice>
  </mc:AlternateContent>
  <xr:revisionPtr revIDLastSave="797" documentId="8_{6F0FC750-C317-44B9-8408-78CD58D62204}" xr6:coauthVersionLast="47" xr6:coauthVersionMax="47" xr10:uidLastSave="{E9E2244D-819F-44CD-8AE9-2F3BC9DA6266}"/>
  <bookViews>
    <workbookView xWindow="-120" yWindow="-120" windowWidth="29040" windowHeight="15720" tabRatio="870" xr2:uid="{16A91028-BF57-4C73-B002-6DA88F89C253}"/>
  </bookViews>
  <sheets>
    <sheet name="2000 Exam 9 - Q32" sheetId="48" r:id="rId1"/>
    <sheet name="2001 Exam 9 - Q2 revised" sheetId="49" r:id="rId2"/>
    <sheet name="2001 Exam 9 - Q22" sheetId="50" r:id="rId3"/>
    <sheet name="2002 Exam 9 - Q47" sheetId="51" r:id="rId4"/>
    <sheet name="2003 Exam 9 - Q2" sheetId="52" r:id="rId5"/>
    <sheet name="2003 Exam 9 - Q22" sheetId="53" r:id="rId6"/>
    <sheet name="2004 Exam 9 - Q2 revised" sheetId="54" r:id="rId7"/>
    <sheet name="2005 Exam 9 - Q3" sheetId="55" r:id="rId8"/>
    <sheet name="2006 Exam 9 - Q2" sheetId="56" r:id="rId9"/>
    <sheet name="2007 Exam 9 - Q2" sheetId="57" r:id="rId10"/>
    <sheet name="2008 Exam 9 - Q5" sheetId="58" r:id="rId11"/>
    <sheet name="2009 Exam 9 - Q4" sheetId="59" r:id="rId12"/>
    <sheet name="2010 Exam 9 - Q5" sheetId="60" r:id="rId13"/>
    <sheet name="2011 Exam 8 - Q1" sheetId="61" r:id="rId14"/>
    <sheet name="2012 Exam 8 - Q6" sheetId="62" r:id="rId15"/>
    <sheet name="2014 Exam 8 - Q5" sheetId="63" r:id="rId16"/>
    <sheet name="2015 Exam 8 - Q1" sheetId="64" r:id="rId17"/>
    <sheet name="2016 Exam 8 - Q1" sheetId="65" r:id="rId18"/>
    <sheet name="2017 Exam 8 - Q3" sheetId="66" r:id="rId19"/>
    <sheet name="2018 Exam 8 - Q3" sheetId="67" r:id="rId20"/>
    <sheet name="2019 Exam 8 - Q3 revised" sheetId="68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68" l="1"/>
  <c r="C39" i="68"/>
  <c r="C37" i="68"/>
  <c r="D35" i="68"/>
  <c r="C55" i="67"/>
  <c r="C53" i="67"/>
  <c r="C52" i="67"/>
  <c r="C45" i="67"/>
  <c r="E43" i="67"/>
  <c r="C41" i="67"/>
  <c r="C40" i="67"/>
  <c r="C39" i="67"/>
  <c r="C38" i="67"/>
  <c r="C37" i="67"/>
  <c r="C31" i="67"/>
  <c r="C29" i="67"/>
  <c r="F42" i="66"/>
  <c r="E43" i="66"/>
  <c r="E42" i="66"/>
  <c r="D43" i="66"/>
  <c r="D42" i="66"/>
  <c r="C44" i="66"/>
  <c r="C43" i="66"/>
  <c r="C42" i="66"/>
  <c r="F76" i="65"/>
  <c r="E76" i="65"/>
  <c r="D76" i="65"/>
  <c r="F75" i="65"/>
  <c r="E75" i="65"/>
  <c r="D75" i="65"/>
  <c r="F74" i="65"/>
  <c r="E74" i="65"/>
  <c r="D74" i="65"/>
  <c r="C74" i="65"/>
  <c r="F73" i="65"/>
  <c r="E73" i="65"/>
  <c r="D73" i="65"/>
  <c r="C73" i="65"/>
  <c r="F68" i="65"/>
  <c r="E68" i="65"/>
  <c r="D68" i="65"/>
  <c r="C68" i="65"/>
  <c r="F67" i="65"/>
  <c r="E67" i="65"/>
  <c r="D67" i="65"/>
  <c r="C67" i="65"/>
  <c r="F66" i="65"/>
  <c r="F69" i="65" s="1"/>
  <c r="E66" i="65"/>
  <c r="E69" i="65" s="1"/>
  <c r="D66" i="65"/>
  <c r="D69" i="65" s="1"/>
  <c r="C66" i="65"/>
  <c r="F49" i="65"/>
  <c r="E49" i="65"/>
  <c r="D49" i="65"/>
  <c r="C49" i="65"/>
  <c r="F48" i="65"/>
  <c r="E48" i="65"/>
  <c r="E50" i="65" s="1"/>
  <c r="E52" i="65" s="1"/>
  <c r="D48" i="65"/>
  <c r="C48" i="65"/>
  <c r="F47" i="65"/>
  <c r="F50" i="65" s="1"/>
  <c r="F52" i="65" s="1"/>
  <c r="E47" i="65"/>
  <c r="D47" i="65"/>
  <c r="D50" i="65" s="1"/>
  <c r="D52" i="65" s="1"/>
  <c r="C47" i="65"/>
  <c r="C50" i="65" s="1"/>
  <c r="C52" i="65" s="1"/>
  <c r="C53" i="65" s="1"/>
  <c r="C53" i="64"/>
  <c r="C51" i="64"/>
  <c r="C49" i="64"/>
  <c r="C47" i="64"/>
  <c r="C45" i="64"/>
  <c r="C44" i="64"/>
  <c r="C42" i="64"/>
  <c r="C41" i="64"/>
  <c r="C57" i="63"/>
  <c r="F53" i="63"/>
  <c r="E54" i="63"/>
  <c r="E53" i="63"/>
  <c r="D54" i="63"/>
  <c r="D53" i="63"/>
  <c r="C55" i="63"/>
  <c r="C54" i="63"/>
  <c r="C53" i="63"/>
  <c r="E33" i="62"/>
  <c r="E32" i="62"/>
  <c r="E31" i="62"/>
  <c r="D33" i="62"/>
  <c r="D32" i="62"/>
  <c r="D31" i="62"/>
  <c r="C33" i="62"/>
  <c r="C32" i="62"/>
  <c r="C31" i="62"/>
  <c r="D39" i="61"/>
  <c r="D38" i="61"/>
  <c r="D37" i="61"/>
  <c r="C39" i="61"/>
  <c r="C38" i="61"/>
  <c r="C37" i="61"/>
  <c r="H32" i="61"/>
  <c r="H31" i="61"/>
  <c r="H30" i="61"/>
  <c r="D33" i="61"/>
  <c r="D32" i="61"/>
  <c r="D31" i="61"/>
  <c r="E31" i="61" s="1"/>
  <c r="D30" i="61"/>
  <c r="E30" i="61" s="1"/>
  <c r="C33" i="61"/>
  <c r="E33" i="61" s="1"/>
  <c r="C32" i="61"/>
  <c r="E32" i="61" s="1"/>
  <c r="F32" i="61" s="1"/>
  <c r="G32" i="61" s="1"/>
  <c r="C31" i="61"/>
  <c r="C30" i="61"/>
  <c r="C19" i="60"/>
  <c r="C17" i="60"/>
  <c r="C40" i="59"/>
  <c r="C38" i="59"/>
  <c r="C36" i="59"/>
  <c r="C32" i="59"/>
  <c r="C28" i="59"/>
  <c r="C24" i="59"/>
  <c r="C34" i="58"/>
  <c r="C32" i="58"/>
  <c r="C30" i="58"/>
  <c r="C28" i="58"/>
  <c r="D39" i="57"/>
  <c r="D38" i="57"/>
  <c r="D37" i="57"/>
  <c r="C40" i="57"/>
  <c r="C39" i="57"/>
  <c r="C38" i="57"/>
  <c r="C37" i="57"/>
  <c r="E38" i="56"/>
  <c r="E37" i="56"/>
  <c r="E36" i="56"/>
  <c r="D38" i="56"/>
  <c r="D37" i="56"/>
  <c r="D36" i="56"/>
  <c r="C39" i="56"/>
  <c r="C38" i="56"/>
  <c r="C37" i="56"/>
  <c r="C36" i="56"/>
  <c r="G30" i="56"/>
  <c r="G29" i="56"/>
  <c r="G28" i="56"/>
  <c r="F30" i="56"/>
  <c r="F29" i="56"/>
  <c r="F28" i="56"/>
  <c r="E31" i="56"/>
  <c r="E30" i="56"/>
  <c r="E29" i="56"/>
  <c r="E28" i="56"/>
  <c r="D31" i="56"/>
  <c r="D30" i="56"/>
  <c r="D29" i="56"/>
  <c r="D28" i="56"/>
  <c r="C31" i="56"/>
  <c r="C30" i="56"/>
  <c r="C29" i="56"/>
  <c r="C28" i="56"/>
  <c r="C21" i="54"/>
  <c r="C19" i="54"/>
  <c r="C37" i="53"/>
  <c r="C36" i="53"/>
  <c r="C34" i="53"/>
  <c r="C32" i="53"/>
  <c r="C31" i="53"/>
  <c r="C29" i="53"/>
  <c r="C28" i="53"/>
  <c r="C41" i="51"/>
  <c r="D41" i="51"/>
  <c r="C40" i="51"/>
  <c r="D40" i="51" s="1"/>
  <c r="D35" i="51"/>
  <c r="C35" i="51"/>
  <c r="D34" i="51"/>
  <c r="C34" i="51"/>
  <c r="C34" i="50"/>
  <c r="F34" i="50"/>
  <c r="F33" i="50"/>
  <c r="C33" i="50"/>
  <c r="E44" i="48"/>
  <c r="E43" i="48"/>
  <c r="E37" i="48"/>
  <c r="E36" i="48"/>
  <c r="D38" i="48"/>
  <c r="D37" i="48"/>
  <c r="D36" i="48"/>
  <c r="C37" i="48"/>
  <c r="C35" i="48"/>
  <c r="D35" i="48" s="1"/>
  <c r="E35" i="48" s="1"/>
  <c r="C36" i="48"/>
  <c r="C38" i="48"/>
  <c r="F53" i="65" l="1"/>
  <c r="F54" i="65" s="1"/>
  <c r="D53" i="65"/>
  <c r="D54" i="65" s="1"/>
  <c r="D55" i="65" s="1"/>
  <c r="E53" i="65"/>
  <c r="E54" i="65" s="1"/>
  <c r="C69" i="65"/>
  <c r="F30" i="61"/>
  <c r="G30" i="61" s="1"/>
  <c r="F31" i="61"/>
  <c r="G31" i="61" s="1"/>
  <c r="E55" i="65" l="1"/>
  <c r="F55" i="65"/>
</calcChain>
</file>

<file path=xl/sharedStrings.xml><?xml version="1.0" encoding="utf-8"?>
<sst xmlns="http://schemas.openxmlformats.org/spreadsheetml/2006/main" count="816" uniqueCount="480">
  <si>
    <t>Points</t>
  </si>
  <si>
    <t>2000 Exam 9 - Q32</t>
  </si>
  <si>
    <t>Based on Bailey and Simon’s “An Actuarial Note on the Credibility of Experience of a Single Private</t>
  </si>
  <si>
    <t>Passenger Car” and the table below, answer the following.</t>
  </si>
  <si>
    <t>Private Passenger Automobile Liability - Non-Farmers</t>
  </si>
  <si>
    <t>Class 3 - Business Use</t>
  </si>
  <si>
    <t>Merit Rating</t>
  </si>
  <si>
    <t>Earned Car Years</t>
  </si>
  <si>
    <t>Earned Premium at Present B Rates</t>
  </si>
  <si>
    <t>Number of Claims Incurred</t>
  </si>
  <si>
    <t>Claim Frequency per $1,000 of Premium</t>
  </si>
  <si>
    <t>Relative Claim Frequency</t>
  </si>
  <si>
    <t>A</t>
  </si>
  <si>
    <t>X</t>
  </si>
  <si>
    <t>Y</t>
  </si>
  <si>
    <t>B</t>
  </si>
  <si>
    <t>Total</t>
  </si>
  <si>
    <t>where:</t>
  </si>
  <si>
    <t>Class A - Three or more years claim free</t>
  </si>
  <si>
    <t>Class X - Two years claim free</t>
  </si>
  <si>
    <t>Class Y - One year claim free</t>
  </si>
  <si>
    <t>Class B - Zero years claim free</t>
  </si>
  <si>
    <t>a.</t>
  </si>
  <si>
    <t>Calculate the credibilities for a single private passenger car for one or more years, two or more</t>
  </si>
  <si>
    <t>years, and three or more years claim-free. Show all work.</t>
  </si>
  <si>
    <t>b.</t>
  </si>
  <si>
    <t>Briefly describe the relationship that Bailey and Simon expect between the three credibilities</t>
  </si>
  <si>
    <t>from part (a).</t>
  </si>
  <si>
    <t>c.</t>
  </si>
  <si>
    <t>Do the credibilities in part (a) follow the relationship described in part (b)? Briefly explain why</t>
  </si>
  <si>
    <t>or why not.</t>
  </si>
  <si>
    <t>2001 Exam 9 - Q2 revised</t>
  </si>
  <si>
    <t>According to Bailey and Simon’s “An Actuarial Note on the Credibility of Experience of a Single</t>
  </si>
  <si>
    <r>
      <t xml:space="preserve">Private Passenger Car,” which of the following is </t>
    </r>
    <r>
      <rPr>
        <u/>
        <sz val="11"/>
        <color theme="1"/>
        <rFont val="Arial Rounded MT Bold"/>
        <family val="2"/>
      </rPr>
      <t>false</t>
    </r>
    <r>
      <rPr>
        <sz val="11"/>
        <color theme="1"/>
        <rFont val="Arial Rounded MT Bold"/>
        <family val="2"/>
      </rPr>
      <t>?</t>
    </r>
  </si>
  <si>
    <t>(a) The experience for one car for one year has significant and measurable credibility for experience</t>
  </si>
  <si>
    <t>rating.</t>
  </si>
  <si>
    <t>(b) Credibility for experience rating depends on the variation of individual hazards within the</t>
  </si>
  <si>
    <t>class.</t>
  </si>
  <si>
    <t>(c) In a highly refined private passenger rating classification system that reflects inherent hazard,</t>
  </si>
  <si>
    <t>there would not be much accuracy in an individual risk merit rating plan.</t>
  </si>
  <si>
    <t>(d) In experience rating, an increase in the volume of data in the experience period increases the</t>
  </si>
  <si>
    <t>reliability of the indication in proportion to the square root of the volume.</t>
  </si>
  <si>
    <t>2001 Exam 9 - Q22</t>
  </si>
  <si>
    <t>Use Bailey and Simon’s “An Actuarial Note on the Credibility of Experience of a Single Private</t>
  </si>
  <si>
    <t>Passenger Car,” and Hazam’s discussion to answer the following questions.</t>
  </si>
  <si>
    <t>Using the information below, calculate the credibility for 1-year and 2-year claim-free periods</t>
  </si>
  <si>
    <t>for Class 1. Show all work.</t>
  </si>
  <si>
    <t>Number of Years Claim Free</t>
  </si>
  <si>
    <t>Earned Premium at Present Rates</t>
  </si>
  <si>
    <t>Class 1</t>
  </si>
  <si>
    <t>2 or more</t>
  </si>
  <si>
    <t>What exposure base do the authors use? Explain why.</t>
  </si>
  <si>
    <t>According to Hazam, what two conditions must be met to use the exposure base described in</t>
  </si>
  <si>
    <t>part (b)?</t>
  </si>
  <si>
    <t>2002 Exam 9 - Q47</t>
  </si>
  <si>
    <t>*Good problem*</t>
  </si>
  <si>
    <t>Given the following data, calculate the credibilities for 1-year and 2-year claim free periods.</t>
  </si>
  <si>
    <t>A represents 3 or more years since the most recent accident.</t>
  </si>
  <si>
    <t>X represents 2 years since the most recent accident.</t>
  </si>
  <si>
    <t>Y represents 1 year since the most recent accident.</t>
  </si>
  <si>
    <t>B represents 0 years since the most recent accident.</t>
  </si>
  <si>
    <t>Earned Premium at Present Class B Rates</t>
  </si>
  <si>
    <t>Number of Claims</t>
  </si>
  <si>
    <t>TOTAL</t>
  </si>
  <si>
    <t>Give two possible reasons that the 2-year credibility is less than 2 times the 1-year credibility.</t>
  </si>
  <si>
    <t>2003 Exam 9 - Q2</t>
  </si>
  <si>
    <t>(a) Credibility assigned to an individual risk within a highly refined classification rating plan</t>
  </si>
  <si>
    <t>would be higher than the credibility assigned in a less refined rating plan.</t>
  </si>
  <si>
    <t>(b) Credibility for experience rating depends on the amount of variation individual hazard within</t>
  </si>
  <si>
    <t>the class.</t>
  </si>
  <si>
    <t>(c) Credibility for experience rating is significant and measurable when based on data from one car</t>
  </si>
  <si>
    <t>for one year.</t>
  </si>
  <si>
    <t>(d) Credibility within a highly refined private passenger classification rating system would be</t>
  </si>
  <si>
    <t>larger where a wide range of hazard is encompassed within a classification.</t>
  </si>
  <si>
    <r>
      <t xml:space="preserve">Which of the following statements is </t>
    </r>
    <r>
      <rPr>
        <u/>
        <sz val="11"/>
        <color theme="1"/>
        <rFont val="Arial Rounded MT Bold"/>
        <family val="2"/>
      </rPr>
      <t>false</t>
    </r>
    <r>
      <rPr>
        <sz val="11"/>
        <color theme="1"/>
        <rFont val="Arial Rounded MT Bold"/>
        <family val="2"/>
      </rPr>
      <t xml:space="preserve"> for private passenger auto experience rating?</t>
    </r>
  </si>
  <si>
    <t>2003 Exam 9 - Q22</t>
  </si>
  <si>
    <t>You are given the following data:</t>
  </si>
  <si>
    <t>Class</t>
  </si>
  <si>
    <t>Years since last accident</t>
  </si>
  <si>
    <t>Actual Earned Premium at Present B Rates</t>
  </si>
  <si>
    <t>3+</t>
  </si>
  <si>
    <t>Assume that the same rate is charged to all insureds within a class, and there have been no rate</t>
  </si>
  <si>
    <t>changes in or since the experience period.</t>
  </si>
  <si>
    <t>What is the credibility of 3 or more accident-free years of experience?</t>
  </si>
  <si>
    <t>What is the credibility of 1 or more accident-free years of experience?</t>
  </si>
  <si>
    <t>Give two possible reasons why the answer in part (a) is not 3 times the answer in part (b).</t>
  </si>
  <si>
    <t>2004 Exam 9 - Q2 revised</t>
  </si>
  <si>
    <t>Given the following information:</t>
  </si>
  <si>
    <t>Number of Years Since Most Recent Accident</t>
  </si>
  <si>
    <t>3 or more</t>
  </si>
  <si>
    <t>Calculate the credibility of one or more accident-free years of experience.</t>
  </si>
  <si>
    <t>2005 Exam 9 - Q3</t>
  </si>
  <si>
    <t>N = the number of drivers in the population</t>
  </si>
  <si>
    <t>m = the mean claim frequency of all drivers</t>
  </si>
  <si>
    <t>Mod = the credibility weighted modification factors for risks with one or more claims</t>
  </si>
  <si>
    <t>in the past year</t>
  </si>
  <si>
    <t>Derive the formula for the credibility assigned to the experience of drivers with one or more</t>
  </si>
  <si>
    <t>claims in the past year.</t>
  </si>
  <si>
    <t>Assume that claim frequency follows a Poisson distribution.</t>
  </si>
  <si>
    <t>If there is a switch from a less refined class plan to a highly refined class plan, describe the likely</t>
  </si>
  <si>
    <t>change in the credibility assigned to an individual risk.</t>
  </si>
  <si>
    <t>2006 Exam 9 - Q2</t>
  </si>
  <si>
    <t>Given the following information about an automobile insurance portfolio:</t>
  </si>
  <si>
    <t>Group</t>
  </si>
  <si>
    <t>Number of Accident-Free Years</t>
  </si>
  <si>
    <t>Earned Premium at Present Group D Rates</t>
  </si>
  <si>
    <t>C</t>
  </si>
  <si>
    <t>D</t>
  </si>
  <si>
    <t>Calculate the credibility of a single car for each of the following: one-year, two-year, and</t>
  </si>
  <si>
    <t>three-year accident-free periods.</t>
  </si>
  <si>
    <t>In performing the analysis in part (a) above, would using car years instead of earned premium</t>
  </si>
  <si>
    <t>as an exposure base be more preferable? Explain why or why not.</t>
  </si>
  <si>
    <t>2007 Exam 9 - Q2</t>
  </si>
  <si>
    <t>The following data were compiled from the ABC automobile insurance portfolio:</t>
  </si>
  <si>
    <t>Calculate the credibility of a single car for each of the following ranges of accident-free years:</t>
  </si>
  <si>
    <t>i 1 or more</t>
  </si>
  <si>
    <t>ii 2 or more</t>
  </si>
  <si>
    <t>iii 3 or more</t>
  </si>
  <si>
    <t>The following table provides the single car credibility for the XYZ automobile insurance</t>
  </si>
  <si>
    <t>portfolio:</t>
  </si>
  <si>
    <t>Accident-Free Years</t>
  </si>
  <si>
    <t>Single Car Credibility</t>
  </si>
  <si>
    <t>1 or More</t>
  </si>
  <si>
    <t>2 or More</t>
  </si>
  <si>
    <t>3 or More</t>
  </si>
  <si>
    <t>Discuss two conclusions that can be drawn from the different credibility results of the ABC and</t>
  </si>
  <si>
    <t>XYZ portfolios.</t>
  </si>
  <si>
    <t>Explain why analysis of the two portfolios with different classification plans could assign</t>
  </si>
  <si>
    <t>different values to the credibility of the experience of a single car.</t>
  </si>
  <si>
    <t>2008 Exam 9 - Q5</t>
  </si>
  <si>
    <t>A liability insurer collects the following data for a particular class of private passenger auto risks:</t>
  </si>
  <si>
    <t>Earned Exposures</t>
  </si>
  <si>
    <t>Incurred Losses ($)</t>
  </si>
  <si>
    <t>Assume the following:</t>
  </si>
  <si>
    <t>Base rate per exposure</t>
  </si>
  <si>
    <t>• An experience rating factor is the only factor applied to the base rate.</t>
  </si>
  <si>
    <t>Calculate the credibility of an exposure that is accident-free for 1 or more years.</t>
  </si>
  <si>
    <t>Calculate the premium for an exposure that is accident-free for 2 or more years.</t>
  </si>
  <si>
    <t>2009 Exam 9 - Q4</t>
  </si>
  <si>
    <t>The following information can be used to calculate the credibility assigned to the experience of a</t>
  </si>
  <si>
    <t>single private passenger car.</t>
  </si>
  <si>
    <t>Last Accident</t>
  </si>
  <si>
    <t>Premium at Present B Rates</t>
  </si>
  <si>
    <t>M</t>
  </si>
  <si>
    <t>980,000 + M</t>
  </si>
  <si>
    <t>Assume claim counts follow a Poisson distribution.</t>
  </si>
  <si>
    <t>Calculate M, the earned car years for Group B, given that the credibility for an insured that has</t>
  </si>
  <si>
    <t>had no claim-free years is equal to 0.167.</t>
  </si>
  <si>
    <t>Calculate the credibility for the group of risks that have been claim-free for two or more years.</t>
  </si>
  <si>
    <t>2010 Exam 9 - Q5</t>
  </si>
  <si>
    <t>An insurance company has a private passenger auto book of business with the following claims</t>
  </si>
  <si>
    <t>experience:</t>
  </si>
  <si>
    <t>Calculate the credibility of a single car for a driver with one or more accident-free years.</t>
  </si>
  <si>
    <t>2011 Exam 8 - Q1</t>
  </si>
  <si>
    <t>An insurance company is using a merit rating plan for drivers in two states. State X has the</t>
  </si>
  <si>
    <t>following claims experience:</t>
  </si>
  <si>
    <t>None</t>
  </si>
  <si>
    <t>State Y has the following relative claim frequencies for accident-free experience:</t>
  </si>
  <si>
    <t>Relative Claim Frequencies to Total</t>
  </si>
  <si>
    <t>1 or more</t>
  </si>
  <si>
    <t>Assuming that no new risks enter or leave either state, use relative credibility to explain which state</t>
  </si>
  <si>
    <t>has more variation in an individual insured’s probability of an accident.</t>
  </si>
  <si>
    <t>2012 Exam 8 - Q6</t>
  </si>
  <si>
    <t>Territory</t>
  </si>
  <si>
    <t>Years Since Last Accident</t>
  </si>
  <si>
    <t>Earned Premium at Present Rates for Two Years Since Last Accident</t>
  </si>
  <si>
    <t>Incurred Loss</t>
  </si>
  <si>
    <t>2+</t>
  </si>
  <si>
    <t>Choose an appropriate exposure base for calculating credibility. Justify the selection.</t>
  </si>
  <si>
    <t>2014 Exam 8 - Q5</t>
  </si>
  <si>
    <t>The following data shows the experience of a merit rating plan for a specific state.</t>
  </si>
  <si>
    <t>Earned Premium ($000)</t>
  </si>
  <si>
    <t>Number of Incurred Claims</t>
  </si>
  <si>
    <t>No other rating variables are applicable.</t>
  </si>
  <si>
    <t>The typical exposure base used to develop the merit rating plan is earned premium. Briefly</t>
  </si>
  <si>
    <t>discuss two assumptions in selecting this exposure base.</t>
  </si>
  <si>
    <t>Calculate the ratio of credibility for an exposure with two or more years accident-free</t>
  </si>
  <si>
    <t>experience to one or more years accident-free experience.</t>
  </si>
  <si>
    <t>Calculate the premium for an exposure that is accident free for two or more years.</t>
  </si>
  <si>
    <t>2015 Exam 8 - Q1</t>
  </si>
  <si>
    <t>An actuary is evaluating a merit rating plan for private passenger cars. Given the following:</t>
  </si>
  <si>
    <t>• Frequency varies by territory.</t>
  </si>
  <si>
    <t>• State law prohibits reflecting territory differences in rating.</t>
  </si>
  <si>
    <t>• Annual claims for an individual driver follow a Poisson distribution.</t>
  </si>
  <si>
    <t>• Claim cost distributions are similar across all drivers.</t>
  </si>
  <si>
    <t>Identify one potential issue with the exposure base used. Briefly explain whether or not earned</t>
  </si>
  <si>
    <t>premium would be a better choice for the exposure base.</t>
  </si>
  <si>
    <t>Calculate the credibility of one driver with one or more year’s accident-free experience.</t>
  </si>
  <si>
    <t>Calculate the credibility of one driver with 0 Accident-Free years.</t>
  </si>
  <si>
    <t>2016 Exam 8 - Q1</t>
  </si>
  <si>
    <t>A group of insureds have different expected claim frequencies. The number of insureds claim-free</t>
  </si>
  <si>
    <t>for the past t years is as follows:</t>
  </si>
  <si>
    <t>Expected Claim Frequency</t>
  </si>
  <si>
    <t>t=0</t>
  </si>
  <si>
    <t>t=1</t>
  </si>
  <si>
    <t>t=2</t>
  </si>
  <si>
    <t>t=3</t>
  </si>
  <si>
    <t>Determine whether the variation of an individual insured’s chance for an accident changes over</t>
  </si>
  <si>
    <t>time.</t>
  </si>
  <si>
    <t>2017 Exam 8 - Q3</t>
  </si>
  <si>
    <t>The following data shows the experience of a merit rating plan for private passenger vehicles. The</t>
  </si>
  <si>
    <t>merit rating plan uses multiple rating variables, including territory.</t>
  </si>
  <si>
    <t>Earned Car Years (000s)</t>
  </si>
  <si>
    <t>Earned Premium ($000s)</t>
  </si>
  <si>
    <t>5 or More</t>
  </si>
  <si>
    <t>3 and 4</t>
  </si>
  <si>
    <t>1 and 2</t>
  </si>
  <si>
    <t>Frequency</t>
  </si>
  <si>
    <t>Average Premium</t>
  </si>
  <si>
    <t>Recommend and justify an exposure base for this merit rating plan.</t>
  </si>
  <si>
    <t>Calculate the relative credibility of an exposure that has been three or more years accident-free</t>
  </si>
  <si>
    <t>using the exposure base from part (a) above.</t>
  </si>
  <si>
    <t>2018 Exam 8 - Q3</t>
  </si>
  <si>
    <t>Earned Premiums</t>
  </si>
  <si>
    <t>Current Merit Rating Factor</t>
  </si>
  <si>
    <t>63,000 + C</t>
  </si>
  <si>
    <t>λ parameter for claim counts, which follow a Poisson distribution</t>
  </si>
  <si>
    <t>Credibility for the new policy period for an insured that has had no claim-free years</t>
  </si>
  <si>
    <t>Calculate C, the number of claims incurred for Group B.</t>
  </si>
  <si>
    <t>Calculate the merit rating factor for an exposure that is accident-free for two or more years for</t>
  </si>
  <si>
    <t>the new policy period.</t>
  </si>
  <si>
    <t>Briefly explain two circumstances under which using earned premium as the exposure base</t>
  </si>
  <si>
    <t>would not correct for maldistribution.</t>
  </si>
  <si>
    <t>2019 Exam 8 - Q3 revised</t>
  </si>
  <si>
    <t>An insurance company has a private passenger auto book of business with an experience</t>
  </si>
  <si>
    <t>modification factor in its rating plan.</t>
  </si>
  <si>
    <t>Given the following:</t>
  </si>
  <si>
    <t>Annual claims for an individual driver follow a negative binomial distribution with r=10</t>
  </si>
  <si>
    <t>Expected claim frequency for the entire book of business</t>
  </si>
  <si>
    <t>Credibility for the group of risks that have had at least one accident in the last year</t>
  </si>
  <si>
    <t>For the negative binomial distribution:</t>
  </si>
  <si>
    <t>Calculate the experience modification factor for a policy that has had at least one accident in the</t>
  </si>
  <si>
    <t>last year.</t>
  </si>
  <si>
    <t>Describe why a class with a higher volume of claims and more exposures may have less</t>
  </si>
  <si>
    <t>credibility than a class with fewer claims and exposures.</t>
  </si>
  <si>
    <t>(a) True: this is one of the main points of the Bailey &amp; Simon paper.</t>
  </si>
  <si>
    <t>(b) True: the more difference between individual risks in a class, the more powerful individual risk</t>
  </si>
  <si>
    <t>rating will become.</t>
  </si>
  <si>
    <t>(c) True: if the variance in loss experience between risks is largely explained by the classification</t>
  </si>
  <si>
    <t>rating variables, then experience rating wouldn’t add much predictive power.</t>
  </si>
  <si>
    <t>(d) FALSE: This is in contrast to Bailey &amp; Simon’s 3rd conclusion.</t>
  </si>
  <si>
    <t>Finished</t>
  </si>
  <si>
    <t>Rating</t>
  </si>
  <si>
    <t>A+X</t>
  </si>
  <si>
    <t>A+X+Y</t>
  </si>
  <si>
    <t>Freq to Prem</t>
  </si>
  <si>
    <t>Rel Freq</t>
  </si>
  <si>
    <t>Credibility</t>
  </si>
  <si>
    <t>The credibilities should increase in proportion to the # of years of experience if the chance of</t>
  </si>
  <si>
    <t>accidents for individual risks remains constant and no risks enter or leave the class.</t>
  </si>
  <si>
    <t>2 years relative to 1 year</t>
  </si>
  <si>
    <t>3 years relative to 1 year</t>
  </si>
  <si>
    <t>Since these are much less than 2 and 3, respectively, it must be that risks’ chances for accidents</t>
  </si>
  <si>
    <t>are changing and/or risks may be entering or leaving the class.</t>
  </si>
  <si>
    <t>I assume the problem meant 1 or more years and 2 or more years claim-free, since we are not</t>
  </si>
  <si>
    <t>given data for exactly 2 years.</t>
  </si>
  <si>
    <t>I also assume the premium is at present 0 years claim-free rates.</t>
  </si>
  <si>
    <t>Note that table of information all reflects current year data, which we will use to determine the Mod. We</t>
  </si>
  <si>
    <t>don’t have prior year data, but we know R will equal 0 for both 1+ and 2+ years claim-free.</t>
  </si>
  <si>
    <t>1+ years Mod</t>
  </si>
  <si>
    <t>Cred</t>
  </si>
  <si>
    <t>2+ years Mod</t>
  </si>
  <si>
    <t>since R=0</t>
  </si>
  <si>
    <t>The authors use earned premium at current class B rates as their exposure base to avoid the</t>
  </si>
  <si>
    <t>maldistribution caused when higher frequency territories produce more X, Y, and B risks and</t>
  </si>
  <si>
    <t>higher premiums.</t>
  </si>
  <si>
    <t>Territorial rate differentials are proper.</t>
  </si>
  <si>
    <t>High frequency territories are also high average premium territories.</t>
  </si>
  <si>
    <t>Note: the terminology here for “class” is different than in the source paper. In the source paper, all of the merit</t>
  </si>
  <si>
    <t>ratings have different factors, but can be contained within a single broader class.</t>
  </si>
  <si>
    <t>Solution assuming 1+ and 2+ years claim-free (more in line with the paper and what the CAS</t>
  </si>
  <si>
    <t>intended):</t>
  </si>
  <si>
    <t>I assume the problem meant 1+ and 2+ years claim-free, and not exactly 1 and 2 years</t>
  </si>
  <si>
    <t>claim-free.</t>
  </si>
  <si>
    <t>Mod</t>
  </si>
  <si>
    <t>Solution for EXACTLY 1 and 2 years claim-free:</t>
  </si>
  <si>
    <t>Note that the credibilities are negative. The reason for this is that the Mod is applied to the class rate, and</t>
  </si>
  <si>
    <t>the class mostly consists of the 3+ years claims-free insureds. As such, if the class rate is set to be the</t>
  </si>
  <si>
    <t>weighted average loss cost for all insureds in the class, the class rate will be low, and the factors for X and</t>
  </si>
  <si>
    <t>Y ratings will be higher than the class rate. So for X and Y insureds, the Mod &gt; 1, and R = 0 since they</t>
  </si>
  <si>
    <t>were claim-free last year, thus a negative credibility results.</t>
  </si>
  <si>
    <t>Risks are entering/exiting the portfolio.</t>
  </si>
  <si>
    <t>Risk characteristics are changing over time.</t>
  </si>
  <si>
    <t>(a) FALSE: the more refined the classification plan, the less need for experience rating. In other</t>
  </si>
  <si>
    <t>words, if all the variation in losses is explained through rating variables, then using an</t>
  </si>
  <si>
    <t>individual risks’s past experience adds no value.</t>
  </si>
  <si>
    <t>(b) True: The more variation within the class, the more meaningful experience rating will be, since</t>
  </si>
  <si>
    <t>classification rating does not sufficiently explain the variation in losses between risks.</t>
  </si>
  <si>
    <t>(c) True: This is a conclusion of the Bailey &amp; Simon paper.</t>
  </si>
  <si>
    <t>(d) True: This is basically the same as (b) above.</t>
  </si>
  <si>
    <t>Avg Freq</t>
  </si>
  <si>
    <t>A Freq</t>
  </si>
  <si>
    <t>A Mod</t>
  </si>
  <si>
    <t>A Cred</t>
  </si>
  <si>
    <t>A+X+Y Freq</t>
  </si>
  <si>
    <t>A+X+Y Mod</t>
  </si>
  <si>
    <t>A+X+Y Cred</t>
  </si>
  <si>
    <t>Let X = # of claims</t>
  </si>
  <si>
    <t>Pr (risk was accident free last year) = Pr(X = 0) = e^(-m)</t>
  </si>
  <si>
    <t>Pr (risk had at least one accident last year) = 1 − Pr(X = 0) = 1 - e^(-m)</t>
  </si>
  <si>
    <t># of risks accident free last year = N * Pr(X = 0) = N(e^(-m))</t>
  </si>
  <si>
    <t># of risks with at least one accident last year; N * Pr(X &gt; 0) = N(1 - e^(-m))</t>
  </si>
  <si>
    <t>expected # of claims last year = Nm</t>
  </si>
  <si>
    <t>freq = avg # of claims last year for current B risks = (Nm) / [N(1 - e^(-m))] = m/(1 - e^(-m))</t>
  </si>
  <si>
    <t>R = (freq for B)/(overall frequency) = m/(1 - e^(-m))/m = 1/(1 - e^(-m))</t>
  </si>
  <si>
    <t>Z = (M − 1) / (R − 1) = (M − 1) / ((1/(1 - e^(-m))) − 1 )</t>
  </si>
  <si>
    <t>Credibility for an individual risk is lowered when the class plan is highly refined, because it is</t>
  </si>
  <si>
    <t>more difficult to identify differences in the loss potential for the particular risk at-hand from the</t>
  </si>
  <si>
    <t>average risk in the class.</t>
  </si>
  <si>
    <t>Solution assuming 1+, 2+, and 3+ years claim-free (more in line with the paper):</t>
  </si>
  <si>
    <t>I assume the problem meant 1+, 2+, and 3+ years claim-free, and not exactly 1, 2, and 3 years</t>
  </si>
  <si>
    <t>1+</t>
  </si>
  <si>
    <t>EP</t>
  </si>
  <si>
    <t>Claims</t>
  </si>
  <si>
    <t>Freq</t>
  </si>
  <si>
    <t>Solution for EXACTLY 1, 2, and 3 years claim-free:</t>
  </si>
  <si>
    <t>Using premium is preferable as it will account for any exposure correlation with other variables</t>
  </si>
  <si>
    <t>like territory.</t>
  </si>
  <si>
    <t>The declining credibility for increased years of experience for XYZ is unusual, but not theoretically</t>
  </si>
  <si>
    <t>impossible. The focus here is on relative credibilities and magnitude of the credibilities.</t>
  </si>
  <si>
    <t>Relative credibilities for ABC are nearly 1:2:3, but very different for XYZ. Insurer XYZ may have</t>
  </si>
  <si>
    <t>more risk entering and leaving classes than ABC.</t>
  </si>
  <si>
    <t>You could have instead suggested risks characteristics are changing over time for XYZ.</t>
  </si>
  <si>
    <t>Insurer XYZ’s class plan may be more refined since the resulting credibilities are lower than</t>
  </si>
  <si>
    <t>ABC’s (assuming both portfolios have equal total frequency).</t>
  </si>
  <si>
    <t>A higher overall frequency would imply higher credibilities, so this could also be a reason for the</t>
  </si>
  <si>
    <t>difference between books.</t>
  </si>
  <si>
    <t>If one portfolio has a more refined class plan then the credibility assigned to the experience of a</t>
  </si>
  <si>
    <t>single car would be lower relative to the other portfolio which has a less refined plan (assuming</t>
  </si>
  <si>
    <t>both portfolios have equal total frequency).</t>
  </si>
  <si>
    <t>Note: in this problem, we cannot use relative frequency as we would for other problems to obtain the Mod</t>
  </si>
  <si>
    <t>since we don’t have claim counts. As such, we have to use relative pure premium.</t>
  </si>
  <si>
    <t>Premium</t>
  </si>
  <si>
    <t>2.68 = 0.167R + (1 - 0.167)</t>
  </si>
  <si>
    <t>R</t>
  </si>
  <si>
    <t>11.05988 = 1/(1 - e^(-lambda))</t>
  </si>
  <si>
    <t>lambda</t>
  </si>
  <si>
    <t xml:space="preserve">0.09477 = 100,000 / (980,000 + M) </t>
  </si>
  <si>
    <t>Z</t>
  </si>
  <si>
    <t>This question is really asking about which state has more variation in accident probabilities OVER TIME (i.e.,</t>
  </si>
  <si>
    <t>not the variation within each book).</t>
  </si>
  <si>
    <t>State X</t>
  </si>
  <si>
    <t>Years clm-free</t>
  </si>
  <si>
    <t>n yr Z / 1 yr Z</t>
  </si>
  <si>
    <t>State Y</t>
  </si>
  <si>
    <t>State X’s n yr Z / 1 yr Z ratio is closer to 3, 2, 1 for 3+, 2+, 1+</t>
  </si>
  <si>
    <t>-&gt; State X is more stable over time</t>
  </si>
  <si>
    <t>-&gt; State Y has more variation over time</t>
  </si>
  <si>
    <t>The graders were looking for a solution here based on the text, so they wanted you to check how frequency</t>
  </si>
  <si>
    <t>correlates with premiums and whether loss ratios were flat. Based on that, they wanted you to conclude that</t>
  </si>
  <si>
    <t>you should use car-years as the base. That said, so long as territory relativities are proper, it would be fine to</t>
  </si>
  <si>
    <t>use premium as the base, though the graders didn’t give credit for that.</t>
  </si>
  <si>
    <t>Premium should be used as the exposure base to prevent the maldistribution of premium if higher</t>
  </si>
  <si>
    <t>frequency territories have higher premiums and territory relativities are proper. Testing this with the</t>
  </si>
  <si>
    <t>data shows:</t>
  </si>
  <si>
    <t>avg Prem</t>
  </si>
  <si>
    <t>Loss Ratio</t>
  </si>
  <si>
    <t>All territories have the same Loss Ratio, which suggests the territory relativities are proper.</t>
  </si>
  <si>
    <t>However, higher frequency territories do not have higher average premiums. Therefore, it is</t>
  </si>
  <si>
    <t>advisable to use earned car years as the exposure base instead of earned premium.</t>
  </si>
  <si>
    <t>There is an issue with the solution in the examiner’s report for this problem. The question itself isn’t inherently</t>
  </si>
  <si>
    <t>flawed, so it isn’t a defective question (that said, it is a bit unusual to see a higher average premium and higher</t>
  </si>
  <si>
    <t>frequency for people with 3+ years accident free compared to only 2 years accident free).</t>
  </si>
  <si>
    <t>Using earned premium as the exposure base is basically akin to using the loss ratio method versus the pure</t>
  </si>
  <si>
    <t>premium method to price relativities. When there is only 1 rating variable in the rating algorithm, there will be</t>
  </si>
  <si>
    <t>no exposure correlation between rating variables, and both approaches would give identical results. In other</t>
  </si>
  <si>
    <t>words, in this problem, since the merit plan is the only rating variable, using exposures or premium should</t>
  </si>
  <si>
    <t>give you the exact same answer if done correctly. So the graders should have given full credit to using</t>
  </si>
  <si>
    <t>exposures in part (b) and using the Mod calculated based on exposures in part (c).</t>
  </si>
  <si>
    <t>You could have also solved this problem using premium, but not in the way shown in the examiners report, and</t>
  </si>
  <si>
    <t>it would have taken longer than using exposures. If you were to use premium, the premium needs to be at a</t>
  </si>
  <si>
    <t>common level (I assume it is already at the current rate level). You can do this by first calculating the current</t>
  </si>
  <si>
    <t>relativities by dividing the premiums by the base rate of $1,000 and then by the exposures. You’ll get</t>
  </si>
  <si>
    <t>relativities of 1, 0.33, 4, and 12.50 for 3+, 2, 1, and 0 years, respectively. Then you can divide the premium</t>
  </si>
  <si>
    <t>numbers by these relativities to obtain premiums at the common level of 3+ years claims-free. Then you can</t>
  </si>
  <si>
    <t>use these premiums at the common level to calculate frequencies, and you’ll end up with the exact same</t>
  </si>
  <si>
    <t>answers to parts (b) and (c) as if you had used exposures as the base instead of premiums.</t>
  </si>
  <si>
    <t>i. High frequency territories are also high average premium territories.</t>
  </si>
  <si>
    <t>ii. Territorial differentials are proper.</t>
  </si>
  <si>
    <t>Ratio</t>
  </si>
  <si>
    <t>We would want to use earned premium as an exposure base if there is exposure correlation</t>
  </si>
  <si>
    <t>between territory and number of years accident-free and territory relativities are properly</t>
  </si>
  <si>
    <t>priced. There may be correlation since frequency varies by territory, but since territories are not</t>
  </si>
  <si>
    <t>properly priced due to not being allowed in rating, premium will not be an improvement over</t>
  </si>
  <si>
    <t>earned car years as an exposure base.</t>
  </si>
  <si>
    <t>1+ yrs R = 0 by definition since 1+ years accident free. That means Mod = Relative Frequency = 1 - Z.</t>
  </si>
  <si>
    <t>1+ Freq</t>
  </si>
  <si>
    <t>Total Freq</t>
  </si>
  <si>
    <t>1+ Mod</t>
  </si>
  <si>
    <t>1+ Cred</t>
  </si>
  <si>
    <t>0 yrs R</t>
  </si>
  <si>
    <t>0 yrs Freq</t>
  </si>
  <si>
    <t>0 yrs Mod</t>
  </si>
  <si>
    <t>0 yrs Cred</t>
  </si>
  <si>
    <t>This table is clearly related to the table in Appendix 1 of the Bailey &amp; Simon paper. However, the purpose of</t>
  </si>
  <si>
    <t>that table is to demonstrate that with a fixed cohort of risks with constant frequencies, you can give about twice</t>
  </si>
  <si>
    <t>as much individual risk credibility to a risk with 2+ years-claims free compared to a risk with 1+ years</t>
  </si>
  <si>
    <t>claims-free (and about 3 times the credibility for 3+ years). In other words, the lack of variation of an</t>
  </si>
  <si>
    <t>individual insured’s chance of an accident is taken as a given in creating that table, rather than learned as a</t>
  </si>
  <si>
    <t>conclusion from the table. So assuming the group of insureds in this question has no one enter or leave the</t>
  </si>
  <si>
    <t>group, then the makeup of the group is constant, and with constant expected frequencies, an individual insured</t>
  </si>
  <si>
    <t>randomly chosen from the group would have the same expected frequency no matter when the insured is chosen</t>
  </si>
  <si>
    <t>in time (note that insureds with claims don’t actually leave the group, so they would still be included in</t>
  </si>
  <si>
    <t>calculating the expected frequency for the group). Thus, of course the variation of an individual insured’s</t>
  </si>
  <si>
    <t>chance for an accident won’t change over time - as mentioned above, this is already assumed when you have a</t>
  </si>
  <si>
    <t>fixed cohort of risks with constant frequencies. It seems like the question writer didn’t understand this point,</t>
  </si>
  <si>
    <t>and as such, I believe you’ll have to essentially work backwards by seeing whether the 2+ and 3+ year</t>
  </si>
  <si>
    <t>credibilities are 2 and 3 times the 1+ year credibility, and if so, only then do you conclude that the variation of</t>
  </si>
  <si>
    <t>an individual insured’s chance of an accident is not changing over time. Given this, I’ll show the solution that</t>
  </si>
  <si>
    <t>is consistent with the source paper, and then 1 more based on an alternative interpretation of the numbers</t>
  </si>
  <si>
    <t>given in the problem that is not consistent with the source paper (not sure if the graders will allow it).</t>
  </si>
  <si>
    <t>SOLUTION 1: Source paper approach</t>
  </si>
  <si>
    <t>We can interpret the given table such that t=1 means 1+ years claim-free, t=2 means 2+ years claim-free, and</t>
  </si>
  <si>
    <t>t=3 means 3+ years claim-free. In other words, if an insured has made it to time 1 without claims, then that</t>
  </si>
  <si>
    <t>insured might also make it to times 2 or 3 or so on without claims. So really, the numbers given are not</t>
  </si>
  <si>
    <t>EXACTLY t years claim-free, but t or more years claim-free. So if we wanted the number of policies with</t>
  </si>
  <si>
    <t>EXACTLY t years claims-free, we can subtract adjacent columns in the given table. For the 0.05 freq group,</t>
  </si>
  <si>
    <t>this would mean 2,500 insured have exactly 0 years claims-free, 2,500 have exactly 1 year claims-free, 1,000</t>
  </si>
  <si>
    <t>insureds have exactly 2 years claims-free, and 44,000 insureds have 3+ years claims-free.</t>
  </si>
  <si>
    <t># of claims from</t>
  </si>
  <si>
    <t>Rel Freq to t=0</t>
  </si>
  <si>
    <t>Relative Cred</t>
  </si>
  <si>
    <t>Since the relative credibilities for t=2 and t=3 are approximately 2 and 3 times the credibility for t=1,</t>
  </si>
  <si>
    <t>the variation of an individual insured’s chances for an accident is not changing over time.</t>
  </si>
  <si>
    <t>SOLUTION 2: Alternative interpretation, inconsistent with source paper</t>
  </si>
  <si>
    <t>Assume the numbers given represent # of insureds with EXACTLY t years claims-free.</t>
  </si>
  <si>
    <t>years claim-free</t>
  </si>
  <si>
    <t>Since the relative credibilities for 2+ and 3+ are fairly close to 2 and 3 times the credibility for 1+</t>
  </si>
  <si>
    <t>years claims-free, the variation of an individual insured’s chances for an accident is not changing</t>
  </si>
  <si>
    <t>over time.</t>
  </si>
  <si>
    <t xml:space="preserve"> I assume all premiums in this question are on-level. We want to use premium as the base instead of</t>
  </si>
  <si>
    <t>car-years if high frequency territories are also high average premium territories, and if territory rates are</t>
  </si>
  <si>
    <t>proper. In this part, we only need to look at the 2nd table given.</t>
  </si>
  <si>
    <t>There isn’t enough information to know whether territories are priced correctly, but we can see</t>
  </si>
  <si>
    <t>that high frequency territories are not high premium territories, because territory C has the</t>
  </si>
  <si>
    <t>highest frequency but lowest average premium. As such, I would recommend using earned</t>
  </si>
  <si>
    <t>car-years as the base for frequency.</t>
  </si>
  <si>
    <t>The wording of this question says RELATIVE credibility, so based on the usage of this in the source</t>
  </si>
  <si>
    <t>material, I assume they are asking for the 3+ year credibility divided by the 1+ year credibility. That said,</t>
  </si>
  <si>
    <t>this should have been more explicit, and past exam question have been more explicit that we are asking for</t>
  </si>
  <si>
    <t>credibility relative to 1+ years claim-free.</t>
  </si>
  <si>
    <t>The premium is given not at B rates, so we need to divide out current relativities to get premium at B</t>
  </si>
  <si>
    <t>rates.</t>
  </si>
  <si>
    <t>Prem at B Rates</t>
  </si>
  <si>
    <t>1.741 = (C/200) / ((63000+C)/815)</t>
  </si>
  <si>
    <t>The wording here is a little odd, as there is no merit rating factor for the A+X category. Instead, there</t>
  </si>
  <si>
    <t>would be an experience mod that would replace the merit rating variable. So I think the question writer</t>
  </si>
  <si>
    <t>meant to ask what the indicated experience mod would be for a risk with 2 or more accident-free years.</t>
  </si>
  <si>
    <t>The answer to that is just the relative frequency for A+X to the total using premium at B rates.</t>
  </si>
  <si>
    <t>A+X Freq</t>
  </si>
  <si>
    <t>Really, because of the wording of this question, there is only 1 main reason, which is that other variables</t>
  </si>
  <si>
    <t>aren’t priced properly. The other item from the paper about high frequency territories having high</t>
  </si>
  <si>
    <t>premium is about exposure correlation existing in the first place, not about correcting for it. But I</t>
  </si>
  <si>
    <t>suppose if exposure correlation doesn’t exist, then there is nothing to correct.</t>
  </si>
  <si>
    <t>exposure correlation with those variables.</t>
  </si>
  <si>
    <t>If other rating variables are not priced properly, then EP would not properly account for</t>
  </si>
  <si>
    <t>If there is no exposure correlation with other rating variables, then there will be no</t>
  </si>
  <si>
    <t>maldistribution issue to correct.</t>
  </si>
  <si>
    <t>Pr(X &gt;=1) = 1 - Pr(X = 0) = 1 - [(0+r-1)!/0!(r-1)! * p^0 * (1-p)^r] = 1 - [1 * 1 * (1-p)^r]</t>
  </si>
  <si>
    <t>R = 1/[1 - (1 - p)^r] = 1/[1 - (1 - p)^10]</t>
  </si>
  <si>
    <t>We can get p because we know the expected claim frequency will equal 0.101 and we have the negative</t>
  </si>
  <si>
    <t>binomial formula for the mean.</t>
  </si>
  <si>
    <t>10p/(1-p)=0.101</t>
  </si>
  <si>
    <t>p</t>
  </si>
  <si>
    <t>The question wording asks you to describe why a CLASS may have less credibility, but the model</t>
  </si>
  <si>
    <t>solutions in the examiner’s report discuss why an INDIVIDUAL RISK within a class might have less</t>
  </si>
  <si>
    <t>credibility. I’ll show answers for both, even though credit was only given for the individual risk</t>
  </si>
  <si>
    <t>assumption (even though that’s not what the question wording said).</t>
  </si>
  <si>
    <t>Solution 1: Talking about individual risk experience rating credibility</t>
  </si>
  <si>
    <t>Individual risk experience rating credibility is used to distinguish between risks within a class.</t>
  </si>
  <si>
    <t>If the variance between risks in a class is low (i.e., risks within the class are very similar), then</t>
  </si>
  <si>
    <t>experience rating credibility will also be low regardless of the size of the class.</t>
  </si>
  <si>
    <t>Solution 2: Talking about class credibility</t>
  </si>
  <si>
    <t>Credibility depends not just on the volume of data, but on the variance of the data. So a class</t>
  </si>
  <si>
    <t>with lots of data could have more variance in loss results than a class with less data, and as such</t>
  </si>
  <si>
    <t>might deserve lower credibility.</t>
  </si>
  <si>
    <t xml:space="preserve">To clarify, assuming merit rating is the only rating variable (since we are told territory is not used for rating and we aren't told about any other rating variables), </t>
  </si>
  <si>
    <t>using either exposures or premium would work equally well in this case since there would be no exposure correlation with other rating variables (as there</t>
  </si>
  <si>
    <t xml:space="preserve"> are none with this assumption). However, if there are additional variables in the rating plan that do have exposure correlation with merit rating, then using</t>
  </si>
  <si>
    <t xml:space="preserve"> premium would definitely be an improvement over using exposures.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</si>
</sst>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"/>
    <numFmt numFmtId="166" formatCode="&quot;$&quot;#,##0"/>
    <numFmt numFmtId="167" formatCode="0.0000"/>
    <numFmt numFmtId="168" formatCode="0.00000"/>
    <numFmt numFmtId="169" formatCode="#,##0.000_);[Red]\(#,##0.000\)"/>
    <numFmt numFmtId="170" formatCode="#,##0.0000_);[Red]\(#,##0.00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Rounded MT Bold"/>
      <family val="2"/>
    </font>
    <font>
      <b/>
      <sz val="11"/>
      <color rgb="FFFF0000"/>
      <name val="Arial Rounded MT Bold"/>
      <family val="2"/>
    </font>
    <font>
      <b/>
      <u/>
      <sz val="11"/>
      <color rgb="FFFF0000"/>
      <name val="Arial Rounded MT Bold"/>
      <family val="2"/>
    </font>
    <font>
      <sz val="11"/>
      <color rgb="FFFF0000"/>
      <name val="Arial Rounded MT Bold"/>
      <family val="2"/>
    </font>
    <font>
      <u/>
      <sz val="11"/>
      <color theme="1"/>
      <name val="Arial Rounded MT Bold"/>
      <family val="2"/>
    </font>
    <font>
      <b/>
      <sz val="11"/>
      <color theme="1"/>
      <name val="Arial Rounded MT Bold"/>
      <family val="2"/>
    </font>
    <font>
      <i/>
      <sz val="11"/>
      <color theme="1"/>
      <name val="Arial Rounded MT Bold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2" fillId="2" borderId="3" xfId="0" applyFont="1" applyFill="1" applyBorder="1"/>
    <xf numFmtId="0" fontId="2" fillId="3" borderId="0" xfId="0" applyFont="1" applyFill="1"/>
    <xf numFmtId="0" fontId="4" fillId="2" borderId="4" xfId="0" applyFont="1" applyFill="1" applyBorder="1"/>
    <xf numFmtId="0" fontId="2" fillId="2" borderId="0" xfId="0" applyFont="1" applyFill="1"/>
    <xf numFmtId="0" fontId="2" fillId="2" borderId="5" xfId="0" applyFont="1" applyFill="1" applyBorder="1"/>
    <xf numFmtId="2" fontId="5" fillId="2" borderId="4" xfId="0" applyNumberFormat="1" applyFont="1" applyFill="1" applyBorder="1" applyAlignment="1">
      <alignment horizontal="left"/>
    </xf>
    <xf numFmtId="0" fontId="2" fillId="2" borderId="6" xfId="0" applyFont="1" applyFill="1" applyBorder="1"/>
    <xf numFmtId="0" fontId="2" fillId="2" borderId="7" xfId="0" applyFont="1" applyFill="1" applyBorder="1"/>
    <xf numFmtId="164" fontId="2" fillId="2" borderId="7" xfId="1" applyNumberFormat="1" applyFont="1" applyFill="1" applyBorder="1"/>
    <xf numFmtId="0" fontId="2" fillId="2" borderId="8" xfId="0" applyFont="1" applyFill="1" applyBorder="1"/>
    <xf numFmtId="0" fontId="2" fillId="2" borderId="0" xfId="0" applyFont="1" applyFill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6" fontId="2" fillId="2" borderId="9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indent="2"/>
    </xf>
    <xf numFmtId="0" fontId="2" fillId="2" borderId="9" xfId="0" applyFont="1" applyFill="1" applyBorder="1"/>
    <xf numFmtId="0" fontId="2" fillId="2" borderId="9" xfId="0" applyFont="1" applyFill="1" applyBorder="1" applyAlignment="1">
      <alignment wrapText="1"/>
    </xf>
    <xf numFmtId="6" fontId="2" fillId="2" borderId="9" xfId="0" applyNumberFormat="1" applyFont="1" applyFill="1" applyBorder="1"/>
    <xf numFmtId="3" fontId="2" fillId="2" borderId="9" xfId="0" applyNumberFormat="1" applyFont="1" applyFill="1" applyBorder="1"/>
    <xf numFmtId="0" fontId="2" fillId="2" borderId="14" xfId="0" applyFont="1" applyFill="1" applyBorder="1" applyAlignment="1">
      <alignment horizont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indent="3"/>
    </xf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3" fontId="2" fillId="2" borderId="14" xfId="0" applyNumberFormat="1" applyFont="1" applyFill="1" applyBorder="1" applyAlignment="1">
      <alignment horizontal="center"/>
    </xf>
    <xf numFmtId="38" fontId="2" fillId="2" borderId="9" xfId="0" applyNumberFormat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166" fontId="2" fillId="2" borderId="9" xfId="0" applyNumberFormat="1" applyFont="1" applyFill="1" applyBorder="1" applyAlignment="1">
      <alignment horizontal="center"/>
    </xf>
    <xf numFmtId="3" fontId="2" fillId="2" borderId="0" xfId="0" applyNumberFormat="1" applyFont="1" applyFill="1"/>
    <xf numFmtId="3" fontId="2" fillId="2" borderId="14" xfId="0" applyNumberFormat="1" applyFont="1" applyFill="1" applyBorder="1"/>
    <xf numFmtId="0" fontId="2" fillId="2" borderId="14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21" xfId="0" applyNumberFormat="1" applyFont="1" applyFill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2" fontId="2" fillId="2" borderId="20" xfId="0" applyNumberFormat="1" applyFont="1" applyFill="1" applyBorder="1" applyAlignment="1">
      <alignment horizontal="center"/>
    </xf>
    <xf numFmtId="2" fontId="2" fillId="2" borderId="21" xfId="0" applyNumberFormat="1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21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2" fillId="2" borderId="20" xfId="0" applyFont="1" applyFill="1" applyBorder="1"/>
    <xf numFmtId="0" fontId="2" fillId="2" borderId="22" xfId="0" applyFont="1" applyFill="1" applyBorder="1"/>
    <xf numFmtId="0" fontId="2" fillId="2" borderId="23" xfId="0" applyFont="1" applyFill="1" applyBorder="1"/>
    <xf numFmtId="6" fontId="2" fillId="3" borderId="0" xfId="0" applyNumberFormat="1" applyFont="1" applyFill="1"/>
    <xf numFmtId="2" fontId="2" fillId="3" borderId="0" xfId="0" applyNumberFormat="1" applyFont="1" applyFill="1"/>
    <xf numFmtId="168" fontId="2" fillId="3" borderId="0" xfId="2" applyNumberFormat="1" applyFont="1" applyFill="1"/>
    <xf numFmtId="165" fontId="2" fillId="3" borderId="0" xfId="0" applyNumberFormat="1" applyFont="1" applyFill="1"/>
    <xf numFmtId="0" fontId="7" fillId="3" borderId="0" xfId="0" applyFont="1" applyFill="1"/>
    <xf numFmtId="165" fontId="7" fillId="3" borderId="0" xfId="0" applyNumberFormat="1" applyFont="1" applyFill="1"/>
    <xf numFmtId="167" fontId="2" fillId="3" borderId="0" xfId="0" applyNumberFormat="1" applyFont="1" applyFill="1"/>
    <xf numFmtId="0" fontId="8" fillId="3" borderId="0" xfId="0" applyFont="1" applyFill="1"/>
    <xf numFmtId="167" fontId="7" fillId="3" borderId="0" xfId="0" applyNumberFormat="1" applyFont="1" applyFill="1"/>
    <xf numFmtId="168" fontId="7" fillId="3" borderId="0" xfId="0" applyNumberFormat="1" applyFont="1" applyFill="1"/>
    <xf numFmtId="169" fontId="2" fillId="3" borderId="0" xfId="0" applyNumberFormat="1" applyFont="1" applyFill="1"/>
    <xf numFmtId="3" fontId="2" fillId="3" borderId="0" xfId="0" applyNumberFormat="1" applyFont="1" applyFill="1"/>
    <xf numFmtId="170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2" fillId="3" borderId="0" xfId="0" quotePrefix="1" applyFont="1" applyFill="1"/>
    <xf numFmtId="1" fontId="2" fillId="3" borderId="0" xfId="0" applyNumberFormat="1" applyFont="1" applyFill="1"/>
    <xf numFmtId="168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1" fontId="7" fillId="3" borderId="0" xfId="0" applyNumberFormat="1" applyFont="1" applyFill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21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431007</xdr:colOff>
      <xdr:row>13</xdr:row>
      <xdr:rowOff>97630</xdr:rowOff>
    </xdr:from>
    <xdr:ext cx="1882375" cy="2993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2E71E75-F0AF-4EA5-957A-97B558DF0A4A}"/>
                </a:ext>
              </a:extLst>
            </xdr:cNvPr>
            <xdr:cNvSpPr txBox="1"/>
          </xdr:nvSpPr>
          <xdr:spPr>
            <a:xfrm>
              <a:off x="2183607" y="2331243"/>
              <a:ext cx="1882375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d>
                    <m:r>
                      <a:rPr lang="en-US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plcHide m:val="on"/>
                            <m:mcs>
                              <m:mc>
                                <m:mcPr>
                                  <m:count m:val="1"/>
                                  <m:mcJc m:val="center"/>
                                </m:mcPr>
                              </m:mc>
                            </m:mcs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i="0">
                                  <a:latin typeface="Cambria Math" panose="02040503050406030204" pitchFamily="18" charset="0"/>
                                </a:rPr>
                                <m:t>+</m:t>
                              </m:r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𝑟</m:t>
                              </m:r>
                              <m:r>
                                <a:rPr lang="en-US" sz="1100" i="0">
                                  <a:latin typeface="Cambria Math" panose="02040503050406030204" pitchFamily="18" charset="0"/>
                                </a:rPr>
                                <m:t>−1</m:t>
                              </m:r>
                            </m:e>
                          </m:mr>
                          <m:mr>
                            <m:e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</m:e>
                          </m:mr>
                        </m:m>
                      </m:e>
                    </m:d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1100" i="0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n-US" sz="110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d>
                      </m:e>
                      <m:sup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𝑟</m:t>
                        </m:r>
                      </m:sup>
                    </m:sSup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p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𝑥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2E71E75-F0AF-4EA5-957A-97B558DF0A4A}"/>
                </a:ext>
              </a:extLst>
            </xdr:cNvPr>
            <xdr:cNvSpPr txBox="1"/>
          </xdr:nvSpPr>
          <xdr:spPr>
            <a:xfrm>
              <a:off x="2183607" y="2331243"/>
              <a:ext cx="1882375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𝑓(𝑥)=(■(𝑥+𝑟−1@𝑥)) (1−𝑝)^𝑟 𝑝^𝑥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440531</xdr:colOff>
      <xdr:row>16</xdr:row>
      <xdr:rowOff>30956</xdr:rowOff>
    </xdr:from>
    <xdr:ext cx="829073" cy="318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BF199E9-5D5B-4F9C-A0E6-081F2424112D}"/>
                </a:ext>
              </a:extLst>
            </xdr:cNvPr>
            <xdr:cNvSpPr txBox="1"/>
          </xdr:nvSpPr>
          <xdr:spPr>
            <a:xfrm>
              <a:off x="2193131" y="2778919"/>
              <a:ext cx="829073" cy="318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𝐸</m:t>
                    </m:r>
                    <m:d>
                      <m:dPr>
                        <m:begChr m:val="["/>
                        <m:endChr m:val="]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</m:d>
                    <m:r>
                      <a:rPr lang="en-US" sz="110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𝑝𝑟</m:t>
                        </m:r>
                      </m:num>
                      <m:den>
                        <m:r>
                          <a:rPr lang="en-US" sz="1100" i="0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BF199E9-5D5B-4F9C-A0E6-081F2424112D}"/>
                </a:ext>
              </a:extLst>
            </xdr:cNvPr>
            <xdr:cNvSpPr txBox="1"/>
          </xdr:nvSpPr>
          <xdr:spPr>
            <a:xfrm>
              <a:off x="2193131" y="2778919"/>
              <a:ext cx="829073" cy="318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𝐸[</a:t>
              </a:r>
              <a:r>
                <a:rPr lang="en-US" sz="1100" b="0" i="0">
                  <a:latin typeface="Cambria Math" panose="02040503050406030204" pitchFamily="18" charset="0"/>
                </a:rPr>
                <a:t>𝑋]</a:t>
              </a:r>
              <a:r>
                <a:rPr lang="en-US" sz="1100" i="0">
                  <a:latin typeface="Cambria Math" panose="02040503050406030204" pitchFamily="18" charset="0"/>
                </a:rPr>
                <a:t>=𝑝𝑟/(1−𝑝)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33BC0-265C-4856-A8D7-6F3D9A535B14}">
  <dimension ref="A1:K47"/>
  <sheetViews>
    <sheetView tabSelected="1" zoomScaleNormal="100" workbookViewId="0"/>
  </sheetViews>
  <sheetFormatPr defaultColWidth="8.85546875" defaultRowHeight="14.25" x14ac:dyDescent="0.2"/>
  <cols>
    <col min="1" max="1" width="18.140625" style="6" bestFit="1" customWidth="1"/>
    <col min="2" max="2" width="15" style="6" customWidth="1"/>
    <col min="3" max="3" width="14" style="6" customWidth="1"/>
    <col min="4" max="4" width="22.570312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2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79" t="s">
        <v>4</v>
      </c>
      <c r="C7" s="80"/>
      <c r="D7" s="80"/>
      <c r="E7" s="80"/>
      <c r="F7" s="80"/>
      <c r="G7" s="81"/>
      <c r="H7" s="8"/>
      <c r="I7" s="8"/>
      <c r="J7" s="8"/>
      <c r="K7" s="9"/>
    </row>
    <row r="8" spans="1:11" x14ac:dyDescent="0.2">
      <c r="A8" s="10"/>
      <c r="B8" s="82" t="s">
        <v>5</v>
      </c>
      <c r="C8" s="83"/>
      <c r="D8" s="83"/>
      <c r="E8" s="83"/>
      <c r="F8" s="83"/>
      <c r="G8" s="84"/>
      <c r="H8" s="8"/>
      <c r="I8" s="8"/>
      <c r="J8" s="8"/>
      <c r="K8" s="9"/>
    </row>
    <row r="9" spans="1:11" ht="71.25" x14ac:dyDescent="0.2">
      <c r="A9" s="10"/>
      <c r="B9" s="17" t="s">
        <v>6</v>
      </c>
      <c r="C9" s="17" t="s">
        <v>7</v>
      </c>
      <c r="D9" s="17" t="s">
        <v>8</v>
      </c>
      <c r="E9" s="17" t="s">
        <v>9</v>
      </c>
      <c r="F9" s="17" t="s">
        <v>10</v>
      </c>
      <c r="G9" s="17" t="s">
        <v>11</v>
      </c>
      <c r="H9" s="8"/>
      <c r="I9" s="8"/>
      <c r="J9" s="8"/>
      <c r="K9" s="9"/>
    </row>
    <row r="10" spans="1:11" x14ac:dyDescent="0.2">
      <c r="A10" s="10"/>
      <c r="B10" s="18" t="s">
        <v>12</v>
      </c>
      <c r="C10" s="19">
        <v>247424</v>
      </c>
      <c r="D10" s="20">
        <v>25846000</v>
      </c>
      <c r="E10" s="19">
        <v>31964</v>
      </c>
      <c r="F10" s="18">
        <v>1.2370000000000001</v>
      </c>
      <c r="G10" s="21">
        <v>0.92</v>
      </c>
      <c r="H10" s="8"/>
      <c r="I10" s="8"/>
      <c r="J10" s="8"/>
      <c r="K10" s="9"/>
    </row>
    <row r="11" spans="1:11" x14ac:dyDescent="0.2">
      <c r="A11" s="10"/>
      <c r="B11" s="18" t="s">
        <v>13</v>
      </c>
      <c r="C11" s="19">
        <v>15868</v>
      </c>
      <c r="D11" s="20">
        <v>1783000</v>
      </c>
      <c r="E11" s="19">
        <v>2695</v>
      </c>
      <c r="F11" s="18">
        <v>1.5109999999999999</v>
      </c>
      <c r="G11" s="21">
        <v>1.123</v>
      </c>
      <c r="H11" s="8"/>
      <c r="I11" s="8"/>
      <c r="J11" s="8"/>
      <c r="K11" s="9"/>
    </row>
    <row r="12" spans="1:11" x14ac:dyDescent="0.2">
      <c r="A12" s="10"/>
      <c r="B12" s="18" t="s">
        <v>14</v>
      </c>
      <c r="C12" s="19">
        <v>20369</v>
      </c>
      <c r="D12" s="20">
        <v>2281000</v>
      </c>
      <c r="E12" s="19">
        <v>3546</v>
      </c>
      <c r="F12" s="18">
        <v>1.5549999999999999</v>
      </c>
      <c r="G12" s="21">
        <v>1.1559999999999999</v>
      </c>
      <c r="H12" s="8"/>
      <c r="I12" s="8"/>
      <c r="J12" s="8"/>
      <c r="K12" s="9"/>
    </row>
    <row r="13" spans="1:11" x14ac:dyDescent="0.2">
      <c r="A13" s="10"/>
      <c r="B13" s="18" t="s">
        <v>15</v>
      </c>
      <c r="C13" s="19">
        <v>37666</v>
      </c>
      <c r="D13" s="20">
        <v>4129000</v>
      </c>
      <c r="E13" s="19">
        <v>7565</v>
      </c>
      <c r="F13" s="18">
        <v>1.8320000000000001</v>
      </c>
      <c r="G13" s="21">
        <v>1.3620000000000001</v>
      </c>
      <c r="H13" s="8"/>
      <c r="I13" s="8"/>
      <c r="J13" s="8"/>
      <c r="K13" s="9"/>
    </row>
    <row r="14" spans="1:11" x14ac:dyDescent="0.2">
      <c r="A14" s="10"/>
      <c r="B14" s="18" t="s">
        <v>16</v>
      </c>
      <c r="C14" s="19">
        <v>321327</v>
      </c>
      <c r="D14" s="20">
        <v>34039000</v>
      </c>
      <c r="E14" s="19">
        <v>45770</v>
      </c>
      <c r="F14" s="18">
        <v>1.345</v>
      </c>
      <c r="G14" s="21">
        <v>1</v>
      </c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 t="s">
        <v>17</v>
      </c>
      <c r="C16" s="8" t="s">
        <v>18</v>
      </c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8" t="s">
        <v>19</v>
      </c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/>
      <c r="C18" s="8" t="s">
        <v>20</v>
      </c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 t="s">
        <v>21</v>
      </c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>
        <v>1.5</v>
      </c>
      <c r="B21" s="8" t="s">
        <v>22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23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 t="s">
        <v>24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/>
      <c r="B24" s="8"/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>
        <v>0.5</v>
      </c>
      <c r="B25" s="8" t="s">
        <v>25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2">
      <c r="A26" s="10"/>
      <c r="B26" s="8" t="s">
        <v>26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x14ac:dyDescent="0.2">
      <c r="A27" s="10"/>
      <c r="B27" s="8" t="s">
        <v>27</v>
      </c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2">
      <c r="A28" s="10"/>
      <c r="B28" s="8"/>
      <c r="C28" s="8"/>
      <c r="D28" s="8"/>
      <c r="E28" s="8"/>
      <c r="F28" s="8"/>
      <c r="G28" s="8"/>
      <c r="H28" s="8"/>
      <c r="I28" s="8"/>
      <c r="J28" s="8"/>
      <c r="K28" s="9"/>
    </row>
    <row r="29" spans="1:11" x14ac:dyDescent="0.2">
      <c r="A29" s="10">
        <v>1</v>
      </c>
      <c r="B29" s="8" t="s">
        <v>28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2">
      <c r="A30" s="10"/>
      <c r="B30" s="8" t="s">
        <v>29</v>
      </c>
      <c r="C30" s="8"/>
      <c r="D30" s="8"/>
      <c r="E30" s="8"/>
      <c r="F30" s="8"/>
      <c r="G30" s="8"/>
      <c r="H30" s="8"/>
      <c r="I30" s="8"/>
      <c r="J30" s="8"/>
      <c r="K30" s="9"/>
    </row>
    <row r="31" spans="1:11" x14ac:dyDescent="0.2">
      <c r="A31" s="10"/>
      <c r="B31" s="8" t="s">
        <v>30</v>
      </c>
      <c r="C31" s="8"/>
      <c r="D31" s="8"/>
      <c r="E31" s="8"/>
      <c r="F31" s="8"/>
      <c r="G31" s="8"/>
      <c r="H31" s="8"/>
      <c r="I31" s="8"/>
      <c r="J31" s="8"/>
      <c r="K31" s="9"/>
    </row>
    <row r="32" spans="1:11" ht="15" thickBot="1" x14ac:dyDescent="0.25">
      <c r="A32" s="11"/>
      <c r="B32" s="12"/>
      <c r="C32" s="13"/>
      <c r="D32" s="13"/>
      <c r="E32" s="13"/>
      <c r="F32" s="12"/>
      <c r="G32" s="12"/>
      <c r="H32" s="12"/>
      <c r="I32" s="12"/>
      <c r="J32" s="12"/>
      <c r="K32" s="14"/>
    </row>
    <row r="34" spans="1:5" x14ac:dyDescent="0.2">
      <c r="A34" s="6" t="s">
        <v>22</v>
      </c>
      <c r="B34" s="6" t="s">
        <v>242</v>
      </c>
      <c r="C34" s="6" t="s">
        <v>245</v>
      </c>
      <c r="D34" s="6" t="s">
        <v>246</v>
      </c>
      <c r="E34" s="63" t="s">
        <v>247</v>
      </c>
    </row>
    <row r="35" spans="1:5" x14ac:dyDescent="0.2">
      <c r="B35" s="6" t="s">
        <v>12</v>
      </c>
      <c r="C35" s="61">
        <f>SUM(E$10:E10)/SUM(D$10:D10)</f>
        <v>1.2367097423198947E-3</v>
      </c>
      <c r="D35" s="60">
        <f>C35/C$38</f>
        <v>0.91973700936916969</v>
      </c>
      <c r="E35" s="64">
        <f>1-D35</f>
        <v>8.0262990630830311E-2</v>
      </c>
    </row>
    <row r="36" spans="1:5" x14ac:dyDescent="0.2">
      <c r="B36" s="6" t="s">
        <v>243</v>
      </c>
      <c r="C36" s="61">
        <f>SUM(E$10:E11)/SUM(D$10:D11)</f>
        <v>1.2544427956133048E-3</v>
      </c>
      <c r="D36" s="60">
        <f t="shared" ref="D36:D38" si="0">C36/C$38</f>
        <v>0.93292502337516459</v>
      </c>
      <c r="E36" s="64">
        <f t="shared" ref="E36:E37" si="1">1-D36</f>
        <v>6.7074976624835414E-2</v>
      </c>
    </row>
    <row r="37" spans="1:5" x14ac:dyDescent="0.2">
      <c r="B37" s="6" t="s">
        <v>244</v>
      </c>
      <c r="C37" s="61">
        <f>SUM(E$10:E12)/SUM(D$10:D12)</f>
        <v>1.2773319959879638E-3</v>
      </c>
      <c r="D37" s="60">
        <f t="shared" si="0"/>
        <v>0.94994764718012459</v>
      </c>
      <c r="E37" s="64">
        <f t="shared" si="1"/>
        <v>5.0052352819875412E-2</v>
      </c>
    </row>
    <row r="38" spans="1:5" x14ac:dyDescent="0.2">
      <c r="B38" s="6" t="s">
        <v>16</v>
      </c>
      <c r="C38" s="61">
        <f>E14/D14</f>
        <v>1.3446340961837892E-3</v>
      </c>
      <c r="D38" s="60">
        <f t="shared" si="0"/>
        <v>1</v>
      </c>
      <c r="E38" s="60"/>
    </row>
    <row r="40" spans="1:5" x14ac:dyDescent="0.2">
      <c r="A40" s="6" t="s">
        <v>25</v>
      </c>
      <c r="B40" s="6" t="s">
        <v>248</v>
      </c>
    </row>
    <row r="41" spans="1:5" x14ac:dyDescent="0.2">
      <c r="B41" s="6" t="s">
        <v>249</v>
      </c>
    </row>
    <row r="43" spans="1:5" x14ac:dyDescent="0.2">
      <c r="A43" s="6" t="s">
        <v>28</v>
      </c>
      <c r="B43" s="6" t="s">
        <v>250</v>
      </c>
      <c r="E43" s="62">
        <f>E36/E37</f>
        <v>1.3400963760129263</v>
      </c>
    </row>
    <row r="44" spans="1:5" x14ac:dyDescent="0.2">
      <c r="B44" s="6" t="s">
        <v>251</v>
      </c>
      <c r="E44" s="62">
        <f>E35/E37</f>
        <v>1.6035807731092011</v>
      </c>
    </row>
    <row r="46" spans="1:5" x14ac:dyDescent="0.2">
      <c r="B46" s="6" t="s">
        <v>252</v>
      </c>
    </row>
    <row r="47" spans="1:5" x14ac:dyDescent="0.2">
      <c r="B47" s="6" t="s">
        <v>253</v>
      </c>
    </row>
  </sheetData>
  <mergeCells count="2">
    <mergeCell ref="B7:G7"/>
    <mergeCell ref="B8:G8"/>
  </mergeCells>
  <conditionalFormatting sqref="B1">
    <cfRule type="cellIs" dxfId="20" priority="1" operator="equal">
      <formula>"Finished"</formula>
    </cfRule>
  </conditionalFormatting>
  <dataValidations count="1">
    <dataValidation type="list" allowBlank="1" showInputMessage="1" showErrorMessage="1" sqref="B1" xr:uid="{3C7D5785-ACEB-4B51-A1AA-FB264725671E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6782C-DA01-4150-A591-0A8CCC70395A}">
  <dimension ref="A1:K58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5.7109375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112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>
        <v>2</v>
      </c>
      <c r="B5" s="8" t="s">
        <v>22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 t="s">
        <v>113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71.25" x14ac:dyDescent="0.2">
      <c r="A8" s="10"/>
      <c r="B8" s="17" t="s">
        <v>103</v>
      </c>
      <c r="C8" s="17" t="s">
        <v>104</v>
      </c>
      <c r="D8" s="17" t="s">
        <v>105</v>
      </c>
      <c r="E8" s="17" t="s">
        <v>9</v>
      </c>
      <c r="F8" s="8"/>
      <c r="G8" s="8"/>
      <c r="H8" s="8"/>
      <c r="I8" s="8"/>
      <c r="J8" s="8"/>
      <c r="K8" s="9"/>
    </row>
    <row r="9" spans="1:11" x14ac:dyDescent="0.2">
      <c r="A9" s="10"/>
      <c r="B9" s="18" t="s">
        <v>12</v>
      </c>
      <c r="C9" s="18">
        <v>3</v>
      </c>
      <c r="D9" s="20">
        <v>100000000</v>
      </c>
      <c r="E9" s="19">
        <v>120000</v>
      </c>
      <c r="F9" s="8"/>
      <c r="G9" s="8"/>
      <c r="H9" s="8"/>
      <c r="I9" s="8"/>
      <c r="J9" s="8"/>
      <c r="K9" s="9"/>
    </row>
    <row r="10" spans="1:11" x14ac:dyDescent="0.2">
      <c r="A10" s="10"/>
      <c r="B10" s="18" t="s">
        <v>15</v>
      </c>
      <c r="C10" s="18">
        <v>2</v>
      </c>
      <c r="D10" s="20">
        <v>10000000</v>
      </c>
      <c r="E10" s="19">
        <v>25000</v>
      </c>
      <c r="F10" s="8"/>
      <c r="G10" s="8"/>
      <c r="H10" s="8"/>
      <c r="I10" s="8"/>
      <c r="J10" s="8"/>
      <c r="K10" s="9"/>
    </row>
    <row r="11" spans="1:11" x14ac:dyDescent="0.2">
      <c r="A11" s="10"/>
      <c r="B11" s="18" t="s">
        <v>106</v>
      </c>
      <c r="C11" s="18">
        <v>1</v>
      </c>
      <c r="D11" s="20">
        <v>17000000</v>
      </c>
      <c r="E11" s="19">
        <v>44000</v>
      </c>
      <c r="F11" s="8"/>
      <c r="G11" s="8"/>
      <c r="H11" s="8"/>
      <c r="I11" s="8"/>
      <c r="J11" s="8"/>
      <c r="K11" s="9"/>
    </row>
    <row r="12" spans="1:11" x14ac:dyDescent="0.2">
      <c r="A12" s="10"/>
      <c r="B12" s="18" t="s">
        <v>107</v>
      </c>
      <c r="C12" s="18">
        <v>0</v>
      </c>
      <c r="D12" s="20">
        <v>10000000</v>
      </c>
      <c r="E12" s="19">
        <v>36000</v>
      </c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114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 t="s">
        <v>115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 t="s">
        <v>116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 t="s">
        <v>117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>
        <v>1</v>
      </c>
      <c r="B19" s="8" t="s">
        <v>25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 t="s">
        <v>118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119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/>
      <c r="C22" s="8"/>
      <c r="D22" s="8"/>
      <c r="E22" s="8"/>
      <c r="F22" s="8"/>
      <c r="G22" s="8"/>
      <c r="H22" s="8"/>
      <c r="I22" s="8"/>
      <c r="J22" s="8"/>
      <c r="K22" s="9"/>
    </row>
    <row r="23" spans="1:11" ht="28.5" x14ac:dyDescent="0.2">
      <c r="A23" s="10"/>
      <c r="B23" s="17" t="s">
        <v>120</v>
      </c>
      <c r="C23" s="17" t="s">
        <v>121</v>
      </c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/>
      <c r="B24" s="18" t="s">
        <v>122</v>
      </c>
      <c r="C24" s="18">
        <v>0.14000000000000001</v>
      </c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/>
      <c r="B25" s="18" t="s">
        <v>123</v>
      </c>
      <c r="C25" s="18">
        <v>0.1</v>
      </c>
      <c r="D25" s="8"/>
      <c r="E25" s="8"/>
      <c r="F25" s="8"/>
      <c r="G25" s="8"/>
      <c r="H25" s="8"/>
      <c r="I25" s="8"/>
      <c r="J25" s="8"/>
      <c r="K25" s="9"/>
    </row>
    <row r="26" spans="1:11" x14ac:dyDescent="0.2">
      <c r="A26" s="10"/>
      <c r="B26" s="18" t="s">
        <v>124</v>
      </c>
      <c r="C26" s="18">
        <v>0.06</v>
      </c>
      <c r="D26" s="8"/>
      <c r="E26" s="8"/>
      <c r="F26" s="8"/>
      <c r="G26" s="8"/>
      <c r="H26" s="8"/>
      <c r="I26" s="8"/>
      <c r="J26" s="8"/>
      <c r="K26" s="9"/>
    </row>
    <row r="27" spans="1:11" x14ac:dyDescent="0.2">
      <c r="A27" s="10"/>
      <c r="B27" s="8"/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2">
      <c r="A28" s="10"/>
      <c r="B28" s="8" t="s">
        <v>125</v>
      </c>
      <c r="C28" s="8"/>
      <c r="D28" s="8"/>
      <c r="E28" s="8"/>
      <c r="F28" s="8"/>
      <c r="G28" s="8"/>
      <c r="H28" s="8"/>
      <c r="I28" s="8"/>
      <c r="J28" s="8"/>
      <c r="K28" s="9"/>
    </row>
    <row r="29" spans="1:11" x14ac:dyDescent="0.2">
      <c r="A29" s="10"/>
      <c r="B29" s="8" t="s">
        <v>126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2">
      <c r="A30" s="10"/>
      <c r="B30" s="8"/>
      <c r="C30" s="8"/>
      <c r="D30" s="8"/>
      <c r="E30" s="8"/>
      <c r="F30" s="8"/>
      <c r="G30" s="8"/>
      <c r="H30" s="8"/>
      <c r="I30" s="8"/>
      <c r="J30" s="8"/>
      <c r="K30" s="9"/>
    </row>
    <row r="31" spans="1:11" x14ac:dyDescent="0.2">
      <c r="A31" s="10">
        <v>0.5</v>
      </c>
      <c r="B31" s="8" t="s">
        <v>28</v>
      </c>
      <c r="C31" s="8"/>
      <c r="D31" s="8"/>
      <c r="E31" s="8"/>
      <c r="F31" s="8"/>
      <c r="G31" s="8"/>
      <c r="H31" s="8"/>
      <c r="I31" s="8"/>
      <c r="J31" s="8"/>
      <c r="K31" s="9"/>
    </row>
    <row r="32" spans="1:11" x14ac:dyDescent="0.2">
      <c r="A32" s="10"/>
      <c r="B32" s="8" t="s">
        <v>127</v>
      </c>
      <c r="C32" s="8"/>
      <c r="D32" s="8"/>
      <c r="E32" s="8"/>
      <c r="F32" s="8"/>
      <c r="G32" s="8"/>
      <c r="H32" s="8"/>
      <c r="I32" s="8"/>
      <c r="J32" s="8"/>
      <c r="K32" s="9"/>
    </row>
    <row r="33" spans="1:11" x14ac:dyDescent="0.2">
      <c r="A33" s="10"/>
      <c r="B33" s="8" t="s">
        <v>128</v>
      </c>
      <c r="C33" s="8"/>
      <c r="D33" s="8"/>
      <c r="E33" s="8"/>
      <c r="F33" s="8"/>
      <c r="G33" s="8"/>
      <c r="H33" s="8"/>
      <c r="I33" s="8"/>
      <c r="J33" s="8"/>
      <c r="K33" s="9"/>
    </row>
    <row r="34" spans="1:11" ht="15" thickBot="1" x14ac:dyDescent="0.25">
      <c r="A34" s="11"/>
      <c r="B34" s="12"/>
      <c r="C34" s="13"/>
      <c r="D34" s="13"/>
      <c r="E34" s="13"/>
      <c r="F34" s="12"/>
      <c r="G34" s="12"/>
      <c r="H34" s="12"/>
      <c r="I34" s="12"/>
      <c r="J34" s="12"/>
      <c r="K34" s="14"/>
    </row>
    <row r="36" spans="1:11" x14ac:dyDescent="0.2">
      <c r="A36" s="6" t="s">
        <v>22</v>
      </c>
      <c r="B36" s="6" t="s">
        <v>103</v>
      </c>
      <c r="C36" s="6" t="s">
        <v>314</v>
      </c>
      <c r="D36" s="6" t="s">
        <v>247</v>
      </c>
    </row>
    <row r="37" spans="1:11" x14ac:dyDescent="0.2">
      <c r="B37" s="6" t="s">
        <v>80</v>
      </c>
      <c r="C37" s="65">
        <f>SUM(E$9:E9)/SUM(D$9:D9)</f>
        <v>1.1999999999999999E-3</v>
      </c>
      <c r="D37" s="62">
        <f>1-C37/C$40</f>
        <v>0.26933333333333342</v>
      </c>
    </row>
    <row r="38" spans="1:11" x14ac:dyDescent="0.2">
      <c r="B38" s="6" t="s">
        <v>167</v>
      </c>
      <c r="C38" s="65">
        <f>SUM(E$9:E10)/SUM(D$9:D10)</f>
        <v>1.3181818181818182E-3</v>
      </c>
      <c r="D38" s="62">
        <f t="shared" ref="D38:D39" si="0">1-C38/C$40</f>
        <v>0.19737373737373742</v>
      </c>
    </row>
    <row r="39" spans="1:11" x14ac:dyDescent="0.2">
      <c r="B39" s="6" t="s">
        <v>311</v>
      </c>
      <c r="C39" s="65">
        <f>SUM(E$9:E11)/SUM(D$9:D11)</f>
        <v>1.4881889763779528E-3</v>
      </c>
      <c r="D39" s="62">
        <f t="shared" si="0"/>
        <v>9.3858267716535493E-2</v>
      </c>
    </row>
    <row r="40" spans="1:11" x14ac:dyDescent="0.2">
      <c r="B40" s="6" t="s">
        <v>16</v>
      </c>
      <c r="C40" s="65">
        <f>SUM(E9:E12)/SUM(D9:D12)</f>
        <v>1.6423357664233577E-3</v>
      </c>
    </row>
    <row r="42" spans="1:11" x14ac:dyDescent="0.2">
      <c r="A42" s="6" t="s">
        <v>25</v>
      </c>
      <c r="B42" s="66" t="s">
        <v>318</v>
      </c>
    </row>
    <row r="43" spans="1:11" x14ac:dyDescent="0.2">
      <c r="B43" s="66" t="s">
        <v>319</v>
      </c>
    </row>
    <row r="45" spans="1:11" x14ac:dyDescent="0.2">
      <c r="B45" s="6" t="s">
        <v>320</v>
      </c>
    </row>
    <row r="46" spans="1:11" x14ac:dyDescent="0.2">
      <c r="B46" s="6" t="s">
        <v>321</v>
      </c>
    </row>
    <row r="48" spans="1:11" x14ac:dyDescent="0.2">
      <c r="B48" s="66" t="s">
        <v>322</v>
      </c>
    </row>
    <row r="50" spans="1:2" x14ac:dyDescent="0.2">
      <c r="B50" s="6" t="s">
        <v>323</v>
      </c>
    </row>
    <row r="51" spans="1:2" x14ac:dyDescent="0.2">
      <c r="B51" s="6" t="s">
        <v>324</v>
      </c>
    </row>
    <row r="53" spans="1:2" x14ac:dyDescent="0.2">
      <c r="B53" s="66" t="s">
        <v>325</v>
      </c>
    </row>
    <row r="54" spans="1:2" x14ac:dyDescent="0.2">
      <c r="B54" s="66" t="s">
        <v>326</v>
      </c>
    </row>
    <row r="56" spans="1:2" x14ac:dyDescent="0.2">
      <c r="A56" s="6" t="s">
        <v>28</v>
      </c>
      <c r="B56" s="6" t="s">
        <v>327</v>
      </c>
    </row>
    <row r="57" spans="1:2" x14ac:dyDescent="0.2">
      <c r="B57" s="6" t="s">
        <v>328</v>
      </c>
    </row>
    <row r="58" spans="1:2" x14ac:dyDescent="0.2">
      <c r="B58" s="6" t="s">
        <v>329</v>
      </c>
    </row>
  </sheetData>
  <conditionalFormatting sqref="B1">
    <cfRule type="cellIs" dxfId="11" priority="1" operator="equal">
      <formula>"Finished"</formula>
    </cfRule>
  </conditionalFormatting>
  <dataValidations disablePrompts="1" count="1">
    <dataValidation type="list" allowBlank="1" showInputMessage="1" showErrorMessage="1" sqref="B1" xr:uid="{9CBE49AE-8131-48BF-8A36-F8C16EC5A369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51319-989E-47A8-BBEC-6BCA6E9D595C}">
  <dimension ref="A1:K34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129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130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28.5" x14ac:dyDescent="0.2">
      <c r="A6" s="10"/>
      <c r="B6" s="17" t="s">
        <v>120</v>
      </c>
      <c r="C6" s="17" t="s">
        <v>131</v>
      </c>
      <c r="D6" s="17" t="s">
        <v>132</v>
      </c>
      <c r="E6" s="8"/>
      <c r="F6" s="8"/>
      <c r="G6" s="8"/>
      <c r="H6" s="8"/>
      <c r="I6" s="8"/>
      <c r="J6" s="8"/>
      <c r="K6" s="9"/>
    </row>
    <row r="7" spans="1:11" x14ac:dyDescent="0.2">
      <c r="A7" s="10"/>
      <c r="B7" s="18" t="s">
        <v>50</v>
      </c>
      <c r="C7" s="19">
        <v>2500</v>
      </c>
      <c r="D7" s="19">
        <v>1000000</v>
      </c>
      <c r="E7" s="8"/>
      <c r="F7" s="8"/>
      <c r="G7" s="8"/>
      <c r="H7" s="8"/>
      <c r="I7" s="8"/>
      <c r="J7" s="8"/>
      <c r="K7" s="9"/>
    </row>
    <row r="8" spans="1:11" x14ac:dyDescent="0.2">
      <c r="A8" s="10"/>
      <c r="B8" s="18">
        <v>1</v>
      </c>
      <c r="C8" s="18">
        <v>500</v>
      </c>
      <c r="D8" s="19">
        <v>500000</v>
      </c>
      <c r="E8" s="8"/>
      <c r="F8" s="8"/>
      <c r="G8" s="8"/>
      <c r="H8" s="8"/>
      <c r="I8" s="8"/>
      <c r="J8" s="8"/>
      <c r="K8" s="9"/>
    </row>
    <row r="9" spans="1:11" x14ac:dyDescent="0.2">
      <c r="A9" s="10"/>
      <c r="B9" s="18">
        <v>0</v>
      </c>
      <c r="C9" s="19">
        <v>1000</v>
      </c>
      <c r="D9" s="19">
        <v>2500000</v>
      </c>
      <c r="E9" s="8"/>
      <c r="F9" s="8"/>
      <c r="G9" s="8"/>
      <c r="H9" s="8"/>
      <c r="I9" s="8"/>
      <c r="J9" s="8"/>
      <c r="K9" s="9"/>
    </row>
    <row r="10" spans="1:11" x14ac:dyDescent="0.2">
      <c r="A10" s="10"/>
      <c r="B10" s="18" t="s">
        <v>16</v>
      </c>
      <c r="C10" s="19">
        <v>4000</v>
      </c>
      <c r="D10" s="19">
        <v>4000000</v>
      </c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 t="s">
        <v>133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25">
        <v>1250</v>
      </c>
      <c r="C14" s="30" t="s">
        <v>134</v>
      </c>
      <c r="D14" s="31"/>
      <c r="E14" s="32"/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 t="s">
        <v>135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>
        <v>1</v>
      </c>
      <c r="B18" s="8" t="s">
        <v>22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136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>
        <v>1</v>
      </c>
      <c r="B21" s="8" t="s">
        <v>25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137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5" thickBot="1" x14ac:dyDescent="0.25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  <row r="25" spans="1:11" x14ac:dyDescent="0.2">
      <c r="A25" s="6" t="s">
        <v>22</v>
      </c>
      <c r="B25" s="66" t="s">
        <v>330</v>
      </c>
    </row>
    <row r="26" spans="1:11" x14ac:dyDescent="0.2">
      <c r="B26" s="66" t="s">
        <v>331</v>
      </c>
    </row>
    <row r="28" spans="1:11" x14ac:dyDescent="0.2">
      <c r="B28" s="6" t="s">
        <v>274</v>
      </c>
      <c r="C28" s="6">
        <f>SUM(D7:D8)/SUM(C7:C8)/(D10/C10)</f>
        <v>0.5</v>
      </c>
    </row>
    <row r="30" spans="1:11" x14ac:dyDescent="0.2">
      <c r="B30" s="6" t="s">
        <v>247</v>
      </c>
      <c r="C30" s="6">
        <f>1-C28</f>
        <v>0.5</v>
      </c>
    </row>
    <row r="32" spans="1:11" x14ac:dyDescent="0.2">
      <c r="A32" s="6" t="s">
        <v>25</v>
      </c>
      <c r="B32" s="6" t="s">
        <v>274</v>
      </c>
      <c r="C32" s="6">
        <f>(D7/C7)/(D10/C10)</f>
        <v>0.4</v>
      </c>
    </row>
    <row r="34" spans="2:3" x14ac:dyDescent="0.2">
      <c r="B34" s="6" t="s">
        <v>332</v>
      </c>
      <c r="C34" s="59">
        <f>B14*C32</f>
        <v>500</v>
      </c>
    </row>
  </sheetData>
  <conditionalFormatting sqref="B1">
    <cfRule type="cellIs" dxfId="10" priority="1" operator="equal">
      <formula>"Finished"</formula>
    </cfRule>
  </conditionalFormatting>
  <dataValidations disablePrompts="1" count="1">
    <dataValidation type="list" allowBlank="1" showInputMessage="1" showErrorMessage="1" sqref="B1" xr:uid="{44B2C0E1-FD57-4CBD-BA8A-7EC96B9D08E2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F6BF-B577-4507-A3C7-8079CEFFAA1D}">
  <dimension ref="A1:K40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138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139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140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2.75" x14ac:dyDescent="0.2">
      <c r="A7" s="10"/>
      <c r="B7" s="27" t="s">
        <v>103</v>
      </c>
      <c r="C7" s="27" t="s">
        <v>141</v>
      </c>
      <c r="D7" s="27" t="s">
        <v>7</v>
      </c>
      <c r="E7" s="27" t="s">
        <v>142</v>
      </c>
      <c r="F7" s="27" t="s">
        <v>62</v>
      </c>
      <c r="G7" s="8"/>
      <c r="H7" s="8"/>
      <c r="I7" s="8"/>
      <c r="J7" s="8"/>
      <c r="K7" s="9"/>
    </row>
    <row r="8" spans="1:11" x14ac:dyDescent="0.2">
      <c r="A8" s="10"/>
      <c r="B8" s="15" t="s">
        <v>12</v>
      </c>
      <c r="C8" s="15" t="s">
        <v>89</v>
      </c>
      <c r="D8" s="28">
        <v>650000</v>
      </c>
      <c r="E8" s="28">
        <v>400000000</v>
      </c>
      <c r="F8" s="28">
        <v>50000</v>
      </c>
      <c r="G8" s="8"/>
      <c r="H8" s="8"/>
      <c r="I8" s="8"/>
      <c r="J8" s="8"/>
      <c r="K8" s="9"/>
    </row>
    <row r="9" spans="1:11" x14ac:dyDescent="0.2">
      <c r="A9" s="10"/>
      <c r="B9" s="15" t="s">
        <v>13</v>
      </c>
      <c r="C9" s="15">
        <v>2</v>
      </c>
      <c r="D9" s="28">
        <v>230000</v>
      </c>
      <c r="E9" s="28">
        <v>150000000</v>
      </c>
      <c r="F9" s="28">
        <v>20000</v>
      </c>
      <c r="G9" s="8"/>
      <c r="H9" s="8"/>
      <c r="I9" s="8"/>
      <c r="J9" s="8"/>
      <c r="K9" s="9"/>
    </row>
    <row r="10" spans="1:11" x14ac:dyDescent="0.2">
      <c r="A10" s="10"/>
      <c r="B10" s="15" t="s">
        <v>14</v>
      </c>
      <c r="C10" s="15">
        <v>1</v>
      </c>
      <c r="D10" s="28">
        <v>100000</v>
      </c>
      <c r="E10" s="28">
        <v>75000000</v>
      </c>
      <c r="F10" s="28">
        <v>12000</v>
      </c>
      <c r="G10" s="8"/>
      <c r="H10" s="8"/>
      <c r="I10" s="8"/>
      <c r="J10" s="8"/>
      <c r="K10" s="9"/>
    </row>
    <row r="11" spans="1:11" x14ac:dyDescent="0.2">
      <c r="A11" s="10"/>
      <c r="B11" s="16" t="s">
        <v>15</v>
      </c>
      <c r="C11" s="16">
        <v>0</v>
      </c>
      <c r="D11" s="16" t="s">
        <v>143</v>
      </c>
      <c r="E11" s="33">
        <v>45000000</v>
      </c>
      <c r="F11" s="33">
        <v>18000</v>
      </c>
      <c r="G11" s="8"/>
      <c r="H11" s="8"/>
      <c r="I11" s="8"/>
      <c r="J11" s="8"/>
      <c r="K11" s="9"/>
    </row>
    <row r="12" spans="1:11" x14ac:dyDescent="0.2">
      <c r="A12" s="10"/>
      <c r="B12" s="15" t="s">
        <v>16</v>
      </c>
      <c r="C12" s="15"/>
      <c r="D12" s="15" t="s">
        <v>144</v>
      </c>
      <c r="E12" s="28">
        <v>670000000</v>
      </c>
      <c r="F12" s="28">
        <v>100000</v>
      </c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145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>
        <v>2.5</v>
      </c>
      <c r="B16" s="8" t="s">
        <v>22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 t="s">
        <v>146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147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>
        <v>1</v>
      </c>
      <c r="B20" s="8" t="s">
        <v>25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148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ht="15" thickBot="1" x14ac:dyDescent="0.25">
      <c r="A22" s="11"/>
      <c r="B22" s="12"/>
      <c r="C22" s="13"/>
      <c r="D22" s="13"/>
      <c r="E22" s="13"/>
      <c r="F22" s="12"/>
      <c r="G22" s="12"/>
      <c r="H22" s="12"/>
      <c r="I22" s="12"/>
      <c r="J22" s="12"/>
      <c r="K22" s="14"/>
    </row>
    <row r="24" spans="1:11" x14ac:dyDescent="0.2">
      <c r="A24" s="6" t="s">
        <v>22</v>
      </c>
      <c r="B24" s="6" t="s">
        <v>274</v>
      </c>
      <c r="C24" s="6">
        <f>(F11/E11)/(F12/E12)</f>
        <v>2.68</v>
      </c>
    </row>
    <row r="26" spans="1:11" x14ac:dyDescent="0.2">
      <c r="B26" s="6" t="s">
        <v>333</v>
      </c>
    </row>
    <row r="28" spans="1:11" x14ac:dyDescent="0.2">
      <c r="B28" s="6" t="s">
        <v>334</v>
      </c>
      <c r="C28" s="6">
        <f>(C24-(1-0.167))/0.167</f>
        <v>11.059880239520959</v>
      </c>
    </row>
    <row r="30" spans="1:11" x14ac:dyDescent="0.2">
      <c r="B30" s="6" t="s">
        <v>335</v>
      </c>
    </row>
    <row r="32" spans="1:11" x14ac:dyDescent="0.2">
      <c r="B32" s="6" t="s">
        <v>336</v>
      </c>
      <c r="C32" s="6">
        <f>-LN(1-1/C28)</f>
        <v>9.4768907801935351E-2</v>
      </c>
    </row>
    <row r="34" spans="1:3" x14ac:dyDescent="0.2">
      <c r="B34" s="6" t="s">
        <v>337</v>
      </c>
    </row>
    <row r="36" spans="1:3" x14ac:dyDescent="0.2">
      <c r="B36" s="63" t="s">
        <v>143</v>
      </c>
      <c r="C36" s="63">
        <f>F12/C32-SUM(D8:D10)</f>
        <v>75198.401241444051</v>
      </c>
    </row>
    <row r="38" spans="1:3" x14ac:dyDescent="0.2">
      <c r="A38" s="6" t="s">
        <v>25</v>
      </c>
      <c r="B38" s="6" t="s">
        <v>274</v>
      </c>
      <c r="C38" s="6">
        <f>SUM(F8:F9)/SUM(E8:E9)/(F12/E12)</f>
        <v>0.85272727272727278</v>
      </c>
    </row>
    <row r="40" spans="1:3" x14ac:dyDescent="0.2">
      <c r="B40" s="63" t="s">
        <v>247</v>
      </c>
      <c r="C40" s="68">
        <f>1-C38</f>
        <v>0.14727272727272722</v>
      </c>
    </row>
  </sheetData>
  <conditionalFormatting sqref="B1">
    <cfRule type="cellIs" dxfId="9" priority="1" operator="equal">
      <formula>"Finished"</formula>
    </cfRule>
  </conditionalFormatting>
  <dataValidations disablePrompts="1" count="1">
    <dataValidation type="list" allowBlank="1" showInputMessage="1" showErrorMessage="1" sqref="B1" xr:uid="{91EE8D11-67AA-400A-9339-682B90025A2A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E08E-E2F5-4F26-9E8B-2957746B5881}">
  <dimension ref="A1:K19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5.7109375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149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150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151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71.25" x14ac:dyDescent="0.2">
      <c r="A7" s="10"/>
      <c r="B7" s="17" t="s">
        <v>103</v>
      </c>
      <c r="C7" s="17" t="s">
        <v>104</v>
      </c>
      <c r="D7" s="17" t="s">
        <v>105</v>
      </c>
      <c r="E7" s="17" t="s">
        <v>9</v>
      </c>
      <c r="F7" s="8"/>
      <c r="G7" s="8"/>
      <c r="H7" s="8"/>
      <c r="I7" s="8"/>
      <c r="J7" s="8"/>
      <c r="K7" s="9"/>
    </row>
    <row r="8" spans="1:11" x14ac:dyDescent="0.2">
      <c r="A8" s="10"/>
      <c r="B8" s="18" t="s">
        <v>12</v>
      </c>
      <c r="C8" s="18" t="s">
        <v>89</v>
      </c>
      <c r="D8" s="34">
        <v>60000000</v>
      </c>
      <c r="E8" s="19">
        <v>45000</v>
      </c>
      <c r="F8" s="8"/>
      <c r="G8" s="8"/>
      <c r="H8" s="8"/>
      <c r="I8" s="8"/>
      <c r="J8" s="8"/>
      <c r="K8" s="9"/>
    </row>
    <row r="9" spans="1:11" x14ac:dyDescent="0.2">
      <c r="A9" s="10"/>
      <c r="B9" s="18" t="s">
        <v>15</v>
      </c>
      <c r="C9" s="18">
        <v>2</v>
      </c>
      <c r="D9" s="34">
        <v>15000000</v>
      </c>
      <c r="E9" s="19">
        <v>15000</v>
      </c>
      <c r="F9" s="8"/>
      <c r="G9" s="8"/>
      <c r="H9" s="8"/>
      <c r="I9" s="8"/>
      <c r="J9" s="8"/>
      <c r="K9" s="9"/>
    </row>
    <row r="10" spans="1:11" x14ac:dyDescent="0.2">
      <c r="A10" s="10"/>
      <c r="B10" s="18" t="s">
        <v>106</v>
      </c>
      <c r="C10" s="18">
        <v>1</v>
      </c>
      <c r="D10" s="34">
        <v>20000000</v>
      </c>
      <c r="E10" s="19">
        <v>29300</v>
      </c>
      <c r="F10" s="8"/>
      <c r="G10" s="8"/>
      <c r="H10" s="8"/>
      <c r="I10" s="8"/>
      <c r="J10" s="8"/>
      <c r="K10" s="9"/>
    </row>
    <row r="11" spans="1:11" x14ac:dyDescent="0.2">
      <c r="A11" s="10"/>
      <c r="B11" s="18" t="s">
        <v>107</v>
      </c>
      <c r="C11" s="18">
        <v>0</v>
      </c>
      <c r="D11" s="34">
        <v>5000000</v>
      </c>
      <c r="E11" s="19">
        <v>18700</v>
      </c>
      <c r="F11" s="8"/>
      <c r="G11" s="8"/>
      <c r="H11" s="8"/>
      <c r="I11" s="8"/>
      <c r="J11" s="8"/>
      <c r="K11" s="9"/>
    </row>
    <row r="12" spans="1:11" x14ac:dyDescent="0.2">
      <c r="A12" s="10"/>
      <c r="B12" s="18"/>
      <c r="C12" s="18"/>
      <c r="D12" s="34">
        <v>100000000</v>
      </c>
      <c r="E12" s="19">
        <v>108000</v>
      </c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152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5" thickBot="1" x14ac:dyDescent="0.25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  <row r="17" spans="2:3" x14ac:dyDescent="0.2">
      <c r="B17" s="6" t="s">
        <v>274</v>
      </c>
      <c r="C17" s="6">
        <f>SUM(E8:E10)/SUM(D8:D10)/(E12/D12)</f>
        <v>0.87037037037037035</v>
      </c>
    </row>
    <row r="19" spans="2:3" x14ac:dyDescent="0.2">
      <c r="B19" s="6" t="s">
        <v>338</v>
      </c>
      <c r="C19" s="62">
        <f>1-C17</f>
        <v>0.12962962962962965</v>
      </c>
    </row>
  </sheetData>
  <conditionalFormatting sqref="B1">
    <cfRule type="cellIs" dxfId="8" priority="1" operator="equal">
      <formula>"Finished"</formula>
    </cfRule>
  </conditionalFormatting>
  <dataValidations count="1">
    <dataValidation type="list" allowBlank="1" showInputMessage="1" showErrorMessage="1" sqref="B1" xr:uid="{2724BA2F-C777-4926-A3E4-DD995D00D563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2DC4-ED8C-482A-BD37-0C7B46FB8BFE}">
  <dimension ref="A1:K43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5.7109375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153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154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155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71.25" x14ac:dyDescent="0.2">
      <c r="A7" s="10"/>
      <c r="B7" s="17" t="s">
        <v>103</v>
      </c>
      <c r="C7" s="17" t="s">
        <v>104</v>
      </c>
      <c r="D7" s="17" t="s">
        <v>105</v>
      </c>
      <c r="E7" s="17" t="s">
        <v>9</v>
      </c>
      <c r="F7" s="8"/>
      <c r="G7" s="8"/>
      <c r="H7" s="8"/>
      <c r="I7" s="8"/>
      <c r="J7" s="8"/>
      <c r="K7" s="9"/>
    </row>
    <row r="8" spans="1:11" x14ac:dyDescent="0.2">
      <c r="A8" s="10"/>
      <c r="B8" s="18" t="s">
        <v>12</v>
      </c>
      <c r="C8" s="18" t="s">
        <v>89</v>
      </c>
      <c r="D8" s="20">
        <v>500000</v>
      </c>
      <c r="E8" s="19">
        <v>240</v>
      </c>
      <c r="F8" s="8"/>
      <c r="G8" s="8"/>
      <c r="H8" s="8"/>
      <c r="I8" s="8"/>
      <c r="J8" s="8"/>
      <c r="K8" s="9"/>
    </row>
    <row r="9" spans="1:11" x14ac:dyDescent="0.2">
      <c r="A9" s="10"/>
      <c r="B9" s="18" t="s">
        <v>15</v>
      </c>
      <c r="C9" s="18">
        <v>2</v>
      </c>
      <c r="D9" s="20">
        <v>150000</v>
      </c>
      <c r="E9" s="19">
        <v>125</v>
      </c>
      <c r="F9" s="8"/>
      <c r="G9" s="8"/>
      <c r="H9" s="8"/>
      <c r="I9" s="8"/>
      <c r="J9" s="8"/>
      <c r="K9" s="9"/>
    </row>
    <row r="10" spans="1:11" x14ac:dyDescent="0.2">
      <c r="A10" s="10"/>
      <c r="B10" s="18" t="s">
        <v>106</v>
      </c>
      <c r="C10" s="18">
        <v>1</v>
      </c>
      <c r="D10" s="20">
        <v>200000</v>
      </c>
      <c r="E10" s="19">
        <v>190</v>
      </c>
      <c r="F10" s="8"/>
      <c r="G10" s="8"/>
      <c r="H10" s="8"/>
      <c r="I10" s="8"/>
      <c r="J10" s="8"/>
      <c r="K10" s="9"/>
    </row>
    <row r="11" spans="1:11" x14ac:dyDescent="0.2">
      <c r="A11" s="10"/>
      <c r="B11" s="18" t="s">
        <v>107</v>
      </c>
      <c r="C11" s="18" t="s">
        <v>156</v>
      </c>
      <c r="D11" s="20">
        <v>300000</v>
      </c>
      <c r="E11" s="19">
        <v>300</v>
      </c>
      <c r="F11" s="8"/>
      <c r="G11" s="8"/>
      <c r="H11" s="8"/>
      <c r="I11" s="8"/>
      <c r="J11" s="8"/>
      <c r="K11" s="9"/>
    </row>
    <row r="12" spans="1:11" x14ac:dyDescent="0.2">
      <c r="A12" s="10"/>
      <c r="B12" s="18"/>
      <c r="C12" s="18"/>
      <c r="D12" s="20">
        <v>1150000</v>
      </c>
      <c r="E12" s="19">
        <v>855</v>
      </c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157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ht="57" x14ac:dyDescent="0.2">
      <c r="A16" s="10"/>
      <c r="B16" s="17" t="s">
        <v>104</v>
      </c>
      <c r="C16" s="17" t="s">
        <v>158</v>
      </c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18" t="s">
        <v>89</v>
      </c>
      <c r="C17" s="35">
        <v>0.7</v>
      </c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18" t="s">
        <v>50</v>
      </c>
      <c r="C18" s="18">
        <v>0.77</v>
      </c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18" t="s">
        <v>159</v>
      </c>
      <c r="C19" s="18">
        <v>0.84</v>
      </c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160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161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5" thickBot="1" x14ac:dyDescent="0.25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  <row r="25" spans="1:11" x14ac:dyDescent="0.2">
      <c r="B25" s="66" t="s">
        <v>339</v>
      </c>
    </row>
    <row r="26" spans="1:11" x14ac:dyDescent="0.2">
      <c r="B26" s="66" t="s">
        <v>340</v>
      </c>
    </row>
    <row r="28" spans="1:11" x14ac:dyDescent="0.2">
      <c r="B28" s="6" t="s">
        <v>341</v>
      </c>
    </row>
    <row r="29" spans="1:11" x14ac:dyDescent="0.2">
      <c r="B29" s="6" t="s">
        <v>342</v>
      </c>
      <c r="C29" s="6" t="s">
        <v>312</v>
      </c>
      <c r="D29" s="6" t="s">
        <v>313</v>
      </c>
      <c r="E29" s="6" t="s">
        <v>314</v>
      </c>
      <c r="F29" s="6" t="s">
        <v>274</v>
      </c>
      <c r="G29" s="6" t="s">
        <v>338</v>
      </c>
      <c r="H29" s="6" t="s">
        <v>343</v>
      </c>
    </row>
    <row r="30" spans="1:11" x14ac:dyDescent="0.2">
      <c r="B30" s="72" t="s">
        <v>80</v>
      </c>
      <c r="C30" s="59">
        <f>SUM(D$8:D8)</f>
        <v>500000</v>
      </c>
      <c r="D30" s="70">
        <f>SUM(E$8:E8)</f>
        <v>240</v>
      </c>
      <c r="E30" s="71">
        <f>D30/C30</f>
        <v>4.8000000000000001E-4</v>
      </c>
      <c r="F30" s="6">
        <f>E30/E$33</f>
        <v>0.64561403508771931</v>
      </c>
      <c r="G30" s="65">
        <f>1-F30</f>
        <v>0.35438596491228069</v>
      </c>
      <c r="H30" s="62">
        <f>G30/G$32</f>
        <v>2.9101694915254237</v>
      </c>
    </row>
    <row r="31" spans="1:11" x14ac:dyDescent="0.2">
      <c r="B31" s="72" t="s">
        <v>167</v>
      </c>
      <c r="C31" s="59">
        <f>SUM(D$8:D9)</f>
        <v>650000</v>
      </c>
      <c r="D31" s="70">
        <f>SUM(E$8:E9)</f>
        <v>365</v>
      </c>
      <c r="E31" s="71">
        <f t="shared" ref="E31:E33" si="0">D31/C31</f>
        <v>5.6153846153846152E-4</v>
      </c>
      <c r="F31" s="6">
        <f>E31/E$33</f>
        <v>0.75528565002249215</v>
      </c>
      <c r="G31" s="65">
        <f t="shared" ref="G31:G32" si="1">1-F31</f>
        <v>0.24471434997750785</v>
      </c>
      <c r="H31" s="62">
        <f t="shared" ref="H31:H32" si="2">G31/G$32</f>
        <v>2.0095610604085179</v>
      </c>
    </row>
    <row r="32" spans="1:11" x14ac:dyDescent="0.2">
      <c r="B32" s="72" t="s">
        <v>311</v>
      </c>
      <c r="C32" s="59">
        <f>SUM(D$8:D10)</f>
        <v>850000</v>
      </c>
      <c r="D32" s="70">
        <f>SUM(E$8:E10)</f>
        <v>555</v>
      </c>
      <c r="E32" s="71">
        <f t="shared" si="0"/>
        <v>6.5294117647058823E-4</v>
      </c>
      <c r="F32" s="6">
        <f>E32/E$33</f>
        <v>0.8782249742002064</v>
      </c>
      <c r="G32" s="65">
        <f t="shared" si="1"/>
        <v>0.1217750257997936</v>
      </c>
      <c r="H32" s="62">
        <f t="shared" si="2"/>
        <v>1</v>
      </c>
    </row>
    <row r="33" spans="2:5" x14ac:dyDescent="0.2">
      <c r="B33" s="72" t="s">
        <v>16</v>
      </c>
      <c r="C33" s="59">
        <f>D12</f>
        <v>1150000</v>
      </c>
      <c r="D33" s="70">
        <f>E12</f>
        <v>855</v>
      </c>
      <c r="E33" s="71">
        <f t="shared" si="0"/>
        <v>7.4347826086956521E-4</v>
      </c>
    </row>
    <row r="35" spans="2:5" x14ac:dyDescent="0.2">
      <c r="B35" s="6" t="s">
        <v>344</v>
      </c>
    </row>
    <row r="36" spans="2:5" x14ac:dyDescent="0.2">
      <c r="B36" s="6" t="s">
        <v>342</v>
      </c>
      <c r="C36" s="6" t="s">
        <v>338</v>
      </c>
      <c r="D36" s="6" t="s">
        <v>343</v>
      </c>
    </row>
    <row r="37" spans="2:5" x14ac:dyDescent="0.2">
      <c r="B37" s="72" t="s">
        <v>80</v>
      </c>
      <c r="C37" s="60">
        <f>1-C17</f>
        <v>0.30000000000000004</v>
      </c>
      <c r="D37" s="6">
        <f>C37/C$39</f>
        <v>1.875</v>
      </c>
    </row>
    <row r="38" spans="2:5" x14ac:dyDescent="0.2">
      <c r="B38" s="72" t="s">
        <v>167</v>
      </c>
      <c r="C38" s="60">
        <f t="shared" ref="C38:C39" si="3">1-C18</f>
        <v>0.22999999999999998</v>
      </c>
      <c r="D38" s="6">
        <f t="shared" ref="D38:D39" si="4">C38/C$39</f>
        <v>1.4374999999999996</v>
      </c>
    </row>
    <row r="39" spans="2:5" x14ac:dyDescent="0.2">
      <c r="B39" s="72" t="s">
        <v>311</v>
      </c>
      <c r="C39" s="60">
        <f t="shared" si="3"/>
        <v>0.16000000000000003</v>
      </c>
      <c r="D39" s="6">
        <f t="shared" si="4"/>
        <v>1</v>
      </c>
    </row>
    <row r="41" spans="2:5" x14ac:dyDescent="0.2">
      <c r="B41" s="6" t="s">
        <v>345</v>
      </c>
    </row>
    <row r="42" spans="2:5" x14ac:dyDescent="0.2">
      <c r="B42" s="73" t="s">
        <v>346</v>
      </c>
    </row>
    <row r="43" spans="2:5" x14ac:dyDescent="0.2">
      <c r="B43" s="73" t="s">
        <v>347</v>
      </c>
    </row>
  </sheetData>
  <conditionalFormatting sqref="B1">
    <cfRule type="cellIs" dxfId="7" priority="1" operator="equal">
      <formula>"Finished"</formula>
    </cfRule>
  </conditionalFormatting>
  <dataValidations disablePrompts="1" count="1">
    <dataValidation type="list" allowBlank="1" showInputMessage="1" showErrorMessage="1" sqref="B1" xr:uid="{04622EA2-CBD6-40B8-8648-D89029142357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2F662-1981-444D-B442-D34209533E7F}">
  <dimension ref="A1:K37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162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150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151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99.75" x14ac:dyDescent="0.2">
      <c r="A7" s="10"/>
      <c r="B7" s="17" t="s">
        <v>163</v>
      </c>
      <c r="C7" s="17" t="s">
        <v>164</v>
      </c>
      <c r="D7" s="17" t="s">
        <v>165</v>
      </c>
      <c r="E7" s="17" t="s">
        <v>7</v>
      </c>
      <c r="F7" s="17" t="s">
        <v>62</v>
      </c>
      <c r="G7" s="17" t="s">
        <v>166</v>
      </c>
      <c r="H7" s="8"/>
      <c r="I7" s="8"/>
      <c r="J7" s="8"/>
      <c r="K7" s="9"/>
    </row>
    <row r="8" spans="1:11" x14ac:dyDescent="0.2">
      <c r="A8" s="10"/>
      <c r="B8" s="18">
        <v>1</v>
      </c>
      <c r="C8" s="18">
        <v>0</v>
      </c>
      <c r="D8" s="36">
        <v>15000000</v>
      </c>
      <c r="E8" s="19">
        <v>15000</v>
      </c>
      <c r="F8" s="19">
        <v>5000</v>
      </c>
      <c r="G8" s="36">
        <v>9000000</v>
      </c>
      <c r="H8" s="8"/>
      <c r="I8" s="8"/>
      <c r="J8" s="8"/>
      <c r="K8" s="9"/>
    </row>
    <row r="9" spans="1:11" x14ac:dyDescent="0.2">
      <c r="A9" s="10"/>
      <c r="B9" s="18">
        <v>1</v>
      </c>
      <c r="C9" s="18">
        <v>1</v>
      </c>
      <c r="D9" s="36">
        <v>125000000</v>
      </c>
      <c r="E9" s="19">
        <v>125000</v>
      </c>
      <c r="F9" s="19">
        <v>41000</v>
      </c>
      <c r="G9" s="36">
        <v>75000000</v>
      </c>
      <c r="H9" s="8"/>
      <c r="I9" s="8"/>
      <c r="J9" s="8"/>
      <c r="K9" s="9"/>
    </row>
    <row r="10" spans="1:11" x14ac:dyDescent="0.2">
      <c r="A10" s="10"/>
      <c r="B10" s="18">
        <v>1</v>
      </c>
      <c r="C10" s="18" t="s">
        <v>167</v>
      </c>
      <c r="D10" s="36">
        <v>230000000</v>
      </c>
      <c r="E10" s="19">
        <v>230000</v>
      </c>
      <c r="F10" s="19">
        <v>76000</v>
      </c>
      <c r="G10" s="36">
        <v>138000000</v>
      </c>
      <c r="H10" s="8"/>
      <c r="I10" s="8"/>
      <c r="J10" s="8"/>
      <c r="K10" s="9"/>
    </row>
    <row r="11" spans="1:11" x14ac:dyDescent="0.2">
      <c r="A11" s="10"/>
      <c r="B11" s="18">
        <v>2</v>
      </c>
      <c r="C11" s="18">
        <v>0</v>
      </c>
      <c r="D11" s="36">
        <v>25000000</v>
      </c>
      <c r="E11" s="19">
        <v>25000</v>
      </c>
      <c r="F11" s="19">
        <v>7000</v>
      </c>
      <c r="G11" s="36">
        <v>16000000</v>
      </c>
      <c r="H11" s="8"/>
      <c r="I11" s="8"/>
      <c r="J11" s="8"/>
      <c r="K11" s="9"/>
    </row>
    <row r="12" spans="1:11" x14ac:dyDescent="0.2">
      <c r="A12" s="10"/>
      <c r="B12" s="18">
        <v>2</v>
      </c>
      <c r="C12" s="18">
        <v>1</v>
      </c>
      <c r="D12" s="36">
        <v>310000000</v>
      </c>
      <c r="E12" s="19">
        <v>300000</v>
      </c>
      <c r="F12" s="19">
        <v>84000</v>
      </c>
      <c r="G12" s="36">
        <v>187000000</v>
      </c>
      <c r="H12" s="8"/>
      <c r="I12" s="8"/>
      <c r="J12" s="8"/>
      <c r="K12" s="9"/>
    </row>
    <row r="13" spans="1:11" x14ac:dyDescent="0.2">
      <c r="A13" s="10"/>
      <c r="B13" s="18">
        <v>2</v>
      </c>
      <c r="C13" s="18" t="s">
        <v>167</v>
      </c>
      <c r="D13" s="36">
        <v>550000000</v>
      </c>
      <c r="E13" s="19">
        <v>535000</v>
      </c>
      <c r="F13" s="19">
        <v>147000</v>
      </c>
      <c r="G13" s="36">
        <v>328000000</v>
      </c>
      <c r="H13" s="8"/>
      <c r="I13" s="8"/>
      <c r="J13" s="8"/>
      <c r="K13" s="9"/>
    </row>
    <row r="14" spans="1:11" x14ac:dyDescent="0.2">
      <c r="A14" s="10"/>
      <c r="B14" s="18">
        <v>3</v>
      </c>
      <c r="C14" s="18">
        <v>0</v>
      </c>
      <c r="D14" s="36">
        <v>10000000</v>
      </c>
      <c r="E14" s="19">
        <v>10000</v>
      </c>
      <c r="F14" s="19">
        <v>4000</v>
      </c>
      <c r="G14" s="36">
        <v>7000000</v>
      </c>
      <c r="H14" s="8"/>
      <c r="I14" s="8"/>
      <c r="J14" s="8"/>
      <c r="K14" s="9"/>
    </row>
    <row r="15" spans="1:11" x14ac:dyDescent="0.2">
      <c r="A15" s="10"/>
      <c r="B15" s="18">
        <v>3</v>
      </c>
      <c r="C15" s="18">
        <v>1</v>
      </c>
      <c r="D15" s="36">
        <v>80000000</v>
      </c>
      <c r="E15" s="19">
        <v>100000</v>
      </c>
      <c r="F15" s="19">
        <v>35000</v>
      </c>
      <c r="G15" s="36">
        <v>43000000</v>
      </c>
      <c r="H15" s="8"/>
      <c r="I15" s="8"/>
      <c r="J15" s="8"/>
      <c r="K15" s="9"/>
    </row>
    <row r="16" spans="1:11" x14ac:dyDescent="0.2">
      <c r="A16" s="10"/>
      <c r="B16" s="18">
        <v>3</v>
      </c>
      <c r="C16" s="18" t="s">
        <v>167</v>
      </c>
      <c r="D16" s="36">
        <v>160000000</v>
      </c>
      <c r="E16" s="19">
        <v>170000</v>
      </c>
      <c r="F16" s="19">
        <v>60000</v>
      </c>
      <c r="G16" s="36">
        <v>100000000</v>
      </c>
      <c r="H16" s="8"/>
      <c r="I16" s="8"/>
      <c r="J16" s="8"/>
      <c r="K16" s="9"/>
    </row>
    <row r="17" spans="1:11" x14ac:dyDescent="0.2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168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ht="15" thickBot="1" x14ac:dyDescent="0.25">
      <c r="A19" s="11"/>
      <c r="B19" s="12"/>
      <c r="C19" s="13"/>
      <c r="D19" s="13"/>
      <c r="E19" s="13"/>
      <c r="F19" s="12"/>
      <c r="G19" s="12"/>
      <c r="H19" s="12"/>
      <c r="I19" s="12"/>
      <c r="J19" s="12"/>
      <c r="K19" s="14"/>
    </row>
    <row r="21" spans="1:11" x14ac:dyDescent="0.2">
      <c r="B21" s="66" t="s">
        <v>348</v>
      </c>
    </row>
    <row r="22" spans="1:11" x14ac:dyDescent="0.2">
      <c r="B22" s="66" t="s">
        <v>349</v>
      </c>
    </row>
    <row r="23" spans="1:11" x14ac:dyDescent="0.2">
      <c r="B23" s="66" t="s">
        <v>350</v>
      </c>
    </row>
    <row r="24" spans="1:11" x14ac:dyDescent="0.2">
      <c r="B24" s="66" t="s">
        <v>351</v>
      </c>
    </row>
    <row r="26" spans="1:11" x14ac:dyDescent="0.2">
      <c r="B26" s="6" t="s">
        <v>352</v>
      </c>
    </row>
    <row r="27" spans="1:11" x14ac:dyDescent="0.2">
      <c r="B27" s="6" t="s">
        <v>353</v>
      </c>
    </row>
    <row r="28" spans="1:11" x14ac:dyDescent="0.2">
      <c r="B28" s="6" t="s">
        <v>354</v>
      </c>
    </row>
    <row r="30" spans="1:11" x14ac:dyDescent="0.2">
      <c r="B30" s="6" t="s">
        <v>163</v>
      </c>
      <c r="C30" s="6" t="s">
        <v>314</v>
      </c>
      <c r="D30" s="6" t="s">
        <v>355</v>
      </c>
      <c r="E30" s="6" t="s">
        <v>356</v>
      </c>
    </row>
    <row r="31" spans="1:11" x14ac:dyDescent="0.2">
      <c r="B31" s="72">
        <v>1</v>
      </c>
      <c r="C31" s="62">
        <f>SUMIF($B$8:$B$16,$B31,$F$8:$F$16)/SUMIF($B$8:$B$16,$B31,$E$8:$E$16)</f>
        <v>0.32972972972972975</v>
      </c>
      <c r="D31" s="6">
        <f>SUMIF($B$8:$B$16,$B31,$D$8:$D$16)/SUMIF($B$8:$B$16,$B31,$E$8:$E$16)</f>
        <v>1000</v>
      </c>
      <c r="E31" s="6">
        <f>SUMIF($B$8:$B$16,$B31,$G$8:$G$16)/SUMIF($B$8:$B$16,$B31,$D$8:$D$16)</f>
        <v>0.6</v>
      </c>
    </row>
    <row r="32" spans="1:11" x14ac:dyDescent="0.2">
      <c r="B32" s="72">
        <v>2</v>
      </c>
      <c r="C32" s="62">
        <f t="shared" ref="C32:C33" si="0">SUMIF($B$8:$B$16,$B32,$F$8:$F$16)/SUMIF($B$8:$B$16,$B32,$E$8:$E$16)</f>
        <v>0.27674418604651163</v>
      </c>
      <c r="D32" s="74">
        <f t="shared" ref="D32:D33" si="1">SUMIF($B$8:$B$16,$B32,$D$8:$D$16)/SUMIF($B$8:$B$16,$B32,$E$8:$E$16)</f>
        <v>1029.0697674418604</v>
      </c>
      <c r="E32" s="6">
        <f t="shared" ref="E32:E33" si="2">SUMIF($B$8:$B$16,$B32,$G$8:$G$16)/SUMIF($B$8:$B$16,$B32,$D$8:$D$16)</f>
        <v>0.6</v>
      </c>
    </row>
    <row r="33" spans="2:5" x14ac:dyDescent="0.2">
      <c r="B33" s="72">
        <v>3</v>
      </c>
      <c r="C33" s="62">
        <f t="shared" si="0"/>
        <v>0.35357142857142859</v>
      </c>
      <c r="D33" s="74">
        <f t="shared" si="1"/>
        <v>892.85714285714289</v>
      </c>
      <c r="E33" s="6">
        <f t="shared" si="2"/>
        <v>0.6</v>
      </c>
    </row>
    <row r="35" spans="2:5" x14ac:dyDescent="0.2">
      <c r="B35" s="6" t="s">
        <v>357</v>
      </c>
    </row>
    <row r="36" spans="2:5" x14ac:dyDescent="0.2">
      <c r="B36" s="6" t="s">
        <v>358</v>
      </c>
    </row>
    <row r="37" spans="2:5" x14ac:dyDescent="0.2">
      <c r="B37" s="6" t="s">
        <v>359</v>
      </c>
    </row>
  </sheetData>
  <conditionalFormatting sqref="B1">
    <cfRule type="cellIs" dxfId="6" priority="1" operator="equal">
      <formula>"Finished"</formula>
    </cfRule>
  </conditionalFormatting>
  <dataValidations disablePrompts="1" count="1">
    <dataValidation type="list" allowBlank="1" showInputMessage="1" showErrorMessage="1" sqref="B1" xr:uid="{366486AF-40ED-48F6-8E2D-59381A7AE559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F57A6-E8C3-4670-A0E2-4934D55EEF98}">
  <dimension ref="A1:K57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1.5703125" style="6" bestFit="1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169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170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42.75" x14ac:dyDescent="0.2">
      <c r="A6" s="10"/>
      <c r="B6" s="27" t="s">
        <v>104</v>
      </c>
      <c r="C6" s="27" t="s">
        <v>7</v>
      </c>
      <c r="D6" s="27" t="s">
        <v>171</v>
      </c>
      <c r="E6" s="27" t="s">
        <v>172</v>
      </c>
      <c r="F6" s="8"/>
      <c r="G6" s="8"/>
      <c r="H6" s="8"/>
      <c r="I6" s="8"/>
      <c r="J6" s="8"/>
      <c r="K6" s="9"/>
    </row>
    <row r="7" spans="1:11" x14ac:dyDescent="0.2">
      <c r="A7" s="10"/>
      <c r="B7" s="15" t="s">
        <v>124</v>
      </c>
      <c r="C7" s="37">
        <v>250000</v>
      </c>
      <c r="D7" s="28">
        <v>250000</v>
      </c>
      <c r="E7" s="37">
        <v>1200</v>
      </c>
      <c r="F7" s="8"/>
      <c r="G7" s="8"/>
      <c r="H7" s="8"/>
      <c r="I7" s="8"/>
      <c r="J7" s="8"/>
      <c r="K7" s="9"/>
    </row>
    <row r="8" spans="1:11" x14ac:dyDescent="0.2">
      <c r="A8" s="10"/>
      <c r="B8" s="15">
        <v>2</v>
      </c>
      <c r="C8" s="37">
        <v>300000</v>
      </c>
      <c r="D8" s="28">
        <v>100000</v>
      </c>
      <c r="E8" s="8">
        <v>625</v>
      </c>
      <c r="F8" s="8"/>
      <c r="G8" s="8"/>
      <c r="H8" s="8"/>
      <c r="I8" s="8"/>
      <c r="J8" s="8"/>
      <c r="K8" s="9"/>
    </row>
    <row r="9" spans="1:11" x14ac:dyDescent="0.2">
      <c r="A9" s="10"/>
      <c r="B9" s="15">
        <v>1</v>
      </c>
      <c r="C9" s="37">
        <v>25000</v>
      </c>
      <c r="D9" s="28">
        <v>100000</v>
      </c>
      <c r="E9" s="8">
        <v>750</v>
      </c>
      <c r="F9" s="8"/>
      <c r="G9" s="8"/>
      <c r="H9" s="8"/>
      <c r="I9" s="8"/>
      <c r="J9" s="8"/>
      <c r="K9" s="9"/>
    </row>
    <row r="10" spans="1:11" x14ac:dyDescent="0.2">
      <c r="A10" s="10"/>
      <c r="B10" s="16">
        <v>0</v>
      </c>
      <c r="C10" s="38">
        <v>12000</v>
      </c>
      <c r="D10" s="33">
        <v>150000</v>
      </c>
      <c r="E10" s="38">
        <v>1500</v>
      </c>
      <c r="F10" s="8"/>
      <c r="G10" s="8"/>
      <c r="H10" s="8"/>
      <c r="I10" s="8"/>
      <c r="J10" s="8"/>
      <c r="K10" s="9"/>
    </row>
    <row r="11" spans="1:11" x14ac:dyDescent="0.2">
      <c r="A11" s="10"/>
      <c r="B11" s="15" t="s">
        <v>16</v>
      </c>
      <c r="C11" s="37">
        <v>587000</v>
      </c>
      <c r="D11" s="28">
        <v>600000</v>
      </c>
      <c r="E11" s="37">
        <v>4075</v>
      </c>
      <c r="F11" s="8"/>
      <c r="G11" s="8"/>
      <c r="H11" s="8"/>
      <c r="I11" s="8"/>
      <c r="J11" s="8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25">
        <v>1000</v>
      </c>
      <c r="C13" s="30" t="s">
        <v>134</v>
      </c>
      <c r="D13" s="31"/>
      <c r="E13" s="32"/>
      <c r="F13" s="8"/>
      <c r="G13" s="8"/>
      <c r="H13" s="8"/>
      <c r="I13" s="8"/>
      <c r="J13" s="8"/>
      <c r="K13" s="9"/>
    </row>
    <row r="14" spans="1:11" x14ac:dyDescent="0.2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 t="s">
        <v>173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>
        <v>0.5</v>
      </c>
      <c r="B17" s="8" t="s">
        <v>22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174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175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>
        <v>1.5</v>
      </c>
      <c r="B21" s="8" t="s">
        <v>25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176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 t="s">
        <v>177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/>
      <c r="B24" s="8"/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>
        <v>0.5</v>
      </c>
      <c r="B25" s="8" t="s">
        <v>28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2">
      <c r="A26" s="10"/>
      <c r="B26" s="8" t="s">
        <v>178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ht="15" thickBot="1" x14ac:dyDescent="0.25">
      <c r="A27" s="11"/>
      <c r="B27" s="12"/>
      <c r="C27" s="13"/>
      <c r="D27" s="13"/>
      <c r="E27" s="13"/>
      <c r="F27" s="12"/>
      <c r="G27" s="12"/>
      <c r="H27" s="12"/>
      <c r="I27" s="12"/>
      <c r="J27" s="12"/>
      <c r="K27" s="14"/>
    </row>
    <row r="29" spans="1:11" x14ac:dyDescent="0.2">
      <c r="B29" s="66" t="s">
        <v>360</v>
      </c>
    </row>
    <row r="30" spans="1:11" x14ac:dyDescent="0.2">
      <c r="B30" s="66" t="s">
        <v>361</v>
      </c>
    </row>
    <row r="31" spans="1:11" x14ac:dyDescent="0.2">
      <c r="B31" s="66" t="s">
        <v>362</v>
      </c>
    </row>
    <row r="33" spans="2:2" x14ac:dyDescent="0.2">
      <c r="B33" s="66" t="s">
        <v>363</v>
      </c>
    </row>
    <row r="34" spans="2:2" x14ac:dyDescent="0.2">
      <c r="B34" s="66" t="s">
        <v>364</v>
      </c>
    </row>
    <row r="35" spans="2:2" x14ac:dyDescent="0.2">
      <c r="B35" s="66" t="s">
        <v>365</v>
      </c>
    </row>
    <row r="36" spans="2:2" x14ac:dyDescent="0.2">
      <c r="B36" s="66" t="s">
        <v>366</v>
      </c>
    </row>
    <row r="37" spans="2:2" x14ac:dyDescent="0.2">
      <c r="B37" s="66" t="s">
        <v>367</v>
      </c>
    </row>
    <row r="38" spans="2:2" x14ac:dyDescent="0.2">
      <c r="B38" s="66" t="s">
        <v>368</v>
      </c>
    </row>
    <row r="40" spans="2:2" x14ac:dyDescent="0.2">
      <c r="B40" s="66" t="s">
        <v>369</v>
      </c>
    </row>
    <row r="41" spans="2:2" x14ac:dyDescent="0.2">
      <c r="B41" s="66" t="s">
        <v>370</v>
      </c>
    </row>
    <row r="42" spans="2:2" x14ac:dyDescent="0.2">
      <c r="B42" s="66" t="s">
        <v>371</v>
      </c>
    </row>
    <row r="43" spans="2:2" x14ac:dyDescent="0.2">
      <c r="B43" s="66" t="s">
        <v>372</v>
      </c>
    </row>
    <row r="44" spans="2:2" x14ac:dyDescent="0.2">
      <c r="B44" s="66" t="s">
        <v>373</v>
      </c>
    </row>
    <row r="45" spans="2:2" x14ac:dyDescent="0.2">
      <c r="B45" s="66" t="s">
        <v>374</v>
      </c>
    </row>
    <row r="46" spans="2:2" x14ac:dyDescent="0.2">
      <c r="B46" s="66" t="s">
        <v>375</v>
      </c>
    </row>
    <row r="47" spans="2:2" x14ac:dyDescent="0.2">
      <c r="B47" s="66" t="s">
        <v>376</v>
      </c>
    </row>
    <row r="49" spans="1:6" x14ac:dyDescent="0.2">
      <c r="A49" s="6" t="s">
        <v>22</v>
      </c>
      <c r="B49" s="6" t="s">
        <v>377</v>
      </c>
    </row>
    <row r="50" spans="1:6" x14ac:dyDescent="0.2">
      <c r="B50" s="6" t="s">
        <v>378</v>
      </c>
    </row>
    <row r="52" spans="1:6" x14ac:dyDescent="0.2">
      <c r="A52" s="6" t="s">
        <v>25</v>
      </c>
      <c r="B52" s="6" t="s">
        <v>103</v>
      </c>
      <c r="C52" s="6" t="s">
        <v>314</v>
      </c>
      <c r="D52" s="6" t="s">
        <v>274</v>
      </c>
      <c r="E52" s="6" t="s">
        <v>260</v>
      </c>
      <c r="F52" s="6" t="s">
        <v>379</v>
      </c>
    </row>
    <row r="53" spans="1:6" x14ac:dyDescent="0.2">
      <c r="B53" s="6" t="s">
        <v>167</v>
      </c>
      <c r="C53" s="65">
        <f>SUM(E$7:E8)/SUM(C$7:C8)</f>
        <v>3.3181818181818182E-3</v>
      </c>
      <c r="D53" s="62">
        <f>C53/C$55</f>
        <v>0.47798103736754044</v>
      </c>
      <c r="E53" s="62">
        <f>1-D53</f>
        <v>0.52201896263245962</v>
      </c>
      <c r="F53" s="62">
        <f>E53/E54</f>
        <v>1.4708461782325419</v>
      </c>
    </row>
    <row r="54" spans="1:6" x14ac:dyDescent="0.2">
      <c r="B54" s="6" t="s">
        <v>311</v>
      </c>
      <c r="C54" s="65">
        <f>SUM(E$7:E9)/SUM(C$7:C9)</f>
        <v>4.4782608695652171E-3</v>
      </c>
      <c r="D54" s="62">
        <f t="shared" ref="D54" si="0">C54/C$55</f>
        <v>0.64508935716190985</v>
      </c>
      <c r="E54" s="62">
        <f>1-D54</f>
        <v>0.35491064283809015</v>
      </c>
    </row>
    <row r="55" spans="1:6" x14ac:dyDescent="0.2">
      <c r="B55" s="6" t="s">
        <v>16</v>
      </c>
      <c r="C55" s="65">
        <f>E11/C11</f>
        <v>6.9420783645655878E-3</v>
      </c>
    </row>
    <row r="57" spans="1:6" x14ac:dyDescent="0.2">
      <c r="A57" s="6" t="s">
        <v>28</v>
      </c>
      <c r="B57" s="6" t="s">
        <v>332</v>
      </c>
      <c r="C57" s="59">
        <f>B13*D53</f>
        <v>477.98103736754047</v>
      </c>
    </row>
  </sheetData>
  <conditionalFormatting sqref="B1">
    <cfRule type="cellIs" dxfId="5" priority="1" operator="equal">
      <formula>"Finished"</formula>
    </cfRule>
  </conditionalFormatting>
  <dataValidations disablePrompts="1" count="1">
    <dataValidation type="list" allowBlank="1" showInputMessage="1" showErrorMessage="1" sqref="B1" xr:uid="{5314675F-0FFE-411D-BD75-8FA7104E100C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99303-179E-4532-81ED-4C56F786FE6A}">
  <dimension ref="A1:K53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179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180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42.75" x14ac:dyDescent="0.2">
      <c r="A6" s="10"/>
      <c r="B6" s="17" t="s">
        <v>104</v>
      </c>
      <c r="C6" s="17" t="s">
        <v>7</v>
      </c>
      <c r="D6" s="17" t="s">
        <v>9</v>
      </c>
      <c r="E6" s="8"/>
      <c r="F6" s="8"/>
      <c r="G6" s="8"/>
      <c r="H6" s="8"/>
      <c r="I6" s="8"/>
      <c r="J6" s="8"/>
      <c r="K6" s="9"/>
    </row>
    <row r="7" spans="1:11" x14ac:dyDescent="0.2">
      <c r="A7" s="10"/>
      <c r="B7" s="18" t="s">
        <v>123</v>
      </c>
      <c r="C7" s="19">
        <v>500000</v>
      </c>
      <c r="D7" s="19">
        <v>20000</v>
      </c>
      <c r="E7" s="8"/>
      <c r="F7" s="8"/>
      <c r="G7" s="8"/>
      <c r="H7" s="8"/>
      <c r="I7" s="8"/>
      <c r="J7" s="8"/>
      <c r="K7" s="9"/>
    </row>
    <row r="8" spans="1:11" x14ac:dyDescent="0.2">
      <c r="A8" s="10"/>
      <c r="B8" s="18">
        <v>1</v>
      </c>
      <c r="C8" s="19">
        <v>200000</v>
      </c>
      <c r="D8" s="19">
        <v>15000</v>
      </c>
      <c r="E8" s="8"/>
      <c r="F8" s="8"/>
      <c r="G8" s="8"/>
      <c r="H8" s="8"/>
      <c r="I8" s="8"/>
      <c r="J8" s="8"/>
      <c r="K8" s="9"/>
    </row>
    <row r="9" spans="1:11" x14ac:dyDescent="0.2">
      <c r="A9" s="10"/>
      <c r="B9" s="18">
        <v>0</v>
      </c>
      <c r="C9" s="19">
        <v>100000</v>
      </c>
      <c r="D9" s="19">
        <v>9000</v>
      </c>
      <c r="E9" s="8"/>
      <c r="F9" s="8"/>
      <c r="G9" s="8"/>
      <c r="H9" s="8"/>
      <c r="I9" s="8"/>
      <c r="J9" s="8"/>
      <c r="K9" s="9"/>
    </row>
    <row r="10" spans="1:11" x14ac:dyDescent="0.2">
      <c r="A10" s="10"/>
      <c r="B10" s="18" t="s">
        <v>16</v>
      </c>
      <c r="C10" s="19">
        <v>800000</v>
      </c>
      <c r="D10" s="19">
        <v>44000</v>
      </c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 t="s">
        <v>181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182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183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 t="s">
        <v>184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>
        <v>0.5</v>
      </c>
      <c r="B17" s="8" t="s">
        <v>22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185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186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>
        <v>1</v>
      </c>
      <c r="B21" s="8" t="s">
        <v>25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187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>
        <v>1</v>
      </c>
      <c r="B24" s="8" t="s">
        <v>28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/>
      <c r="B25" s="8" t="s">
        <v>188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ht="15" thickBot="1" x14ac:dyDescent="0.25">
      <c r="A26" s="11"/>
      <c r="B26" s="12"/>
      <c r="C26" s="13"/>
      <c r="D26" s="13"/>
      <c r="E26" s="13"/>
      <c r="F26" s="12"/>
      <c r="G26" s="12"/>
      <c r="H26" s="12"/>
      <c r="I26" s="12"/>
      <c r="J26" s="12"/>
      <c r="K26" s="14"/>
    </row>
    <row r="28" spans="1:11" x14ac:dyDescent="0.2">
      <c r="A28" s="6" t="s">
        <v>22</v>
      </c>
      <c r="B28" s="6" t="s">
        <v>380</v>
      </c>
    </row>
    <row r="29" spans="1:11" x14ac:dyDescent="0.2">
      <c r="B29" s="6" t="s">
        <v>381</v>
      </c>
    </row>
    <row r="30" spans="1:11" x14ac:dyDescent="0.2">
      <c r="B30" s="6" t="s">
        <v>382</v>
      </c>
    </row>
    <row r="31" spans="1:11" x14ac:dyDescent="0.2">
      <c r="B31" s="6" t="s">
        <v>383</v>
      </c>
    </row>
    <row r="32" spans="1:11" x14ac:dyDescent="0.2">
      <c r="B32" s="6" t="s">
        <v>384</v>
      </c>
    </row>
    <row r="34" spans="1:3" x14ac:dyDescent="0.2">
      <c r="B34" s="66" t="s">
        <v>476</v>
      </c>
    </row>
    <row r="35" spans="1:3" x14ac:dyDescent="0.2">
      <c r="B35" s="66" t="s">
        <v>477</v>
      </c>
    </row>
    <row r="36" spans="1:3" x14ac:dyDescent="0.2">
      <c r="B36" s="66" t="s">
        <v>478</v>
      </c>
    </row>
    <row r="37" spans="1:3" x14ac:dyDescent="0.2">
      <c r="B37" s="66" t="s">
        <v>479</v>
      </c>
    </row>
    <row r="39" spans="1:3" x14ac:dyDescent="0.2">
      <c r="A39" s="6" t="s">
        <v>25</v>
      </c>
      <c r="B39" s="66" t="s">
        <v>385</v>
      </c>
    </row>
    <row r="41" spans="1:3" x14ac:dyDescent="0.2">
      <c r="B41" s="6" t="s">
        <v>386</v>
      </c>
      <c r="C41" s="6">
        <f>SUM(D7:D8)/SUM(C7:C8)</f>
        <v>0.05</v>
      </c>
    </row>
    <row r="42" spans="1:3" x14ac:dyDescent="0.2">
      <c r="B42" s="6" t="s">
        <v>387</v>
      </c>
      <c r="C42" s="6">
        <f>D10/C10</f>
        <v>5.5E-2</v>
      </c>
    </row>
    <row r="44" spans="1:3" x14ac:dyDescent="0.2">
      <c r="B44" s="6" t="s">
        <v>388</v>
      </c>
      <c r="C44" s="62">
        <f>C41/C42</f>
        <v>0.90909090909090917</v>
      </c>
    </row>
    <row r="45" spans="1:3" x14ac:dyDescent="0.2">
      <c r="B45" s="6" t="s">
        <v>389</v>
      </c>
      <c r="C45" s="62">
        <f>1-C44</f>
        <v>9.0909090909090828E-2</v>
      </c>
    </row>
    <row r="47" spans="1:3" x14ac:dyDescent="0.2">
      <c r="A47" s="6" t="s">
        <v>28</v>
      </c>
      <c r="B47" s="6" t="s">
        <v>390</v>
      </c>
      <c r="C47" s="6">
        <f>1/(1-EXP(-C42))</f>
        <v>18.686401284091751</v>
      </c>
    </row>
    <row r="49" spans="2:3" x14ac:dyDescent="0.2">
      <c r="B49" s="6" t="s">
        <v>391</v>
      </c>
      <c r="C49" s="6">
        <f>D9/C9</f>
        <v>0.09</v>
      </c>
    </row>
    <row r="51" spans="2:3" x14ac:dyDescent="0.2">
      <c r="B51" s="6" t="s">
        <v>392</v>
      </c>
      <c r="C51" s="6">
        <f>C49/C42</f>
        <v>1.6363636363636362</v>
      </c>
    </row>
    <row r="53" spans="2:3" x14ac:dyDescent="0.2">
      <c r="B53" s="6" t="s">
        <v>393</v>
      </c>
      <c r="C53" s="65">
        <f>(C51-1)/(C47-1)</f>
        <v>3.5980391157132752E-2</v>
      </c>
    </row>
  </sheetData>
  <conditionalFormatting sqref="B1">
    <cfRule type="cellIs" dxfId="4" priority="1" operator="equal">
      <formula>"Finished"</formula>
    </cfRule>
  </conditionalFormatting>
  <dataValidations disablePrompts="1" count="1">
    <dataValidation type="list" allowBlank="1" showInputMessage="1" showErrorMessage="1" sqref="B1" xr:uid="{20E16E0F-1EE2-4725-96DF-B7B5FC8E1F45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E4D5-38FD-4F3B-B8E9-ED6861709BBF}">
  <dimension ref="A1:K80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189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190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191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2.75" x14ac:dyDescent="0.2">
      <c r="A7" s="10"/>
      <c r="B7" s="17" t="s">
        <v>192</v>
      </c>
      <c r="C7" s="18" t="s">
        <v>193</v>
      </c>
      <c r="D7" s="18" t="s">
        <v>194</v>
      </c>
      <c r="E7" s="18" t="s">
        <v>195</v>
      </c>
      <c r="F7" s="18" t="s">
        <v>196</v>
      </c>
      <c r="G7" s="8"/>
      <c r="H7" s="8"/>
      <c r="I7" s="8"/>
      <c r="J7" s="8"/>
      <c r="K7" s="9"/>
    </row>
    <row r="8" spans="1:11" x14ac:dyDescent="0.2">
      <c r="A8" s="10"/>
      <c r="B8" s="18">
        <v>0.05</v>
      </c>
      <c r="C8" s="19">
        <v>50000</v>
      </c>
      <c r="D8" s="19">
        <v>47500</v>
      </c>
      <c r="E8" s="19">
        <v>45000</v>
      </c>
      <c r="F8" s="19">
        <v>44000</v>
      </c>
      <c r="G8" s="8"/>
      <c r="H8" s="8"/>
      <c r="I8" s="8"/>
      <c r="J8" s="8"/>
      <c r="K8" s="9"/>
    </row>
    <row r="9" spans="1:11" x14ac:dyDescent="0.2">
      <c r="A9" s="10"/>
      <c r="B9" s="35">
        <v>0.1</v>
      </c>
      <c r="C9" s="19">
        <v>50000</v>
      </c>
      <c r="D9" s="19">
        <v>45000</v>
      </c>
      <c r="E9" s="19">
        <v>43000</v>
      </c>
      <c r="F9" s="19">
        <v>36000</v>
      </c>
      <c r="G9" s="8"/>
      <c r="H9" s="8"/>
      <c r="I9" s="8"/>
      <c r="J9" s="8"/>
      <c r="K9" s="9"/>
    </row>
    <row r="10" spans="1:11" x14ac:dyDescent="0.2">
      <c r="A10" s="10"/>
      <c r="B10" s="35">
        <v>0.2</v>
      </c>
      <c r="C10" s="19">
        <v>25000</v>
      </c>
      <c r="D10" s="19">
        <v>20500</v>
      </c>
      <c r="E10" s="19">
        <v>16500</v>
      </c>
      <c r="F10" s="19">
        <v>14000</v>
      </c>
      <c r="G10" s="8"/>
      <c r="H10" s="8"/>
      <c r="I10" s="8"/>
      <c r="J10" s="8"/>
      <c r="K10" s="9"/>
    </row>
    <row r="11" spans="1:11" x14ac:dyDescent="0.2">
      <c r="A11" s="10"/>
      <c r="B11" s="18" t="s">
        <v>16</v>
      </c>
      <c r="C11" s="19">
        <v>125000</v>
      </c>
      <c r="D11" s="19">
        <v>113000</v>
      </c>
      <c r="E11" s="19">
        <v>104500</v>
      </c>
      <c r="F11" s="19">
        <v>94000</v>
      </c>
      <c r="G11" s="8"/>
      <c r="H11" s="8"/>
      <c r="I11" s="8"/>
      <c r="J11" s="8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197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198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5" thickBot="1" x14ac:dyDescent="0.25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  <row r="17" spans="2:2" x14ac:dyDescent="0.2">
      <c r="B17" s="66" t="s">
        <v>394</v>
      </c>
    </row>
    <row r="18" spans="2:2" x14ac:dyDescent="0.2">
      <c r="B18" s="66" t="s">
        <v>395</v>
      </c>
    </row>
    <row r="19" spans="2:2" x14ac:dyDescent="0.2">
      <c r="B19" s="66" t="s">
        <v>396</v>
      </c>
    </row>
    <row r="20" spans="2:2" x14ac:dyDescent="0.2">
      <c r="B20" s="66" t="s">
        <v>397</v>
      </c>
    </row>
    <row r="21" spans="2:2" x14ac:dyDescent="0.2">
      <c r="B21" s="66" t="s">
        <v>398</v>
      </c>
    </row>
    <row r="22" spans="2:2" x14ac:dyDescent="0.2">
      <c r="B22" s="66" t="s">
        <v>399</v>
      </c>
    </row>
    <row r="23" spans="2:2" x14ac:dyDescent="0.2">
      <c r="B23" s="66" t="s">
        <v>400</v>
      </c>
    </row>
    <row r="24" spans="2:2" x14ac:dyDescent="0.2">
      <c r="B24" s="66" t="s">
        <v>401</v>
      </c>
    </row>
    <row r="25" spans="2:2" x14ac:dyDescent="0.2">
      <c r="B25" s="66" t="s">
        <v>402</v>
      </c>
    </row>
    <row r="26" spans="2:2" x14ac:dyDescent="0.2">
      <c r="B26" s="66" t="s">
        <v>403</v>
      </c>
    </row>
    <row r="27" spans="2:2" x14ac:dyDescent="0.2">
      <c r="B27" s="66" t="s">
        <v>404</v>
      </c>
    </row>
    <row r="28" spans="2:2" x14ac:dyDescent="0.2">
      <c r="B28" s="66" t="s">
        <v>405</v>
      </c>
    </row>
    <row r="29" spans="2:2" x14ac:dyDescent="0.2">
      <c r="B29" s="66" t="s">
        <v>406</v>
      </c>
    </row>
    <row r="30" spans="2:2" x14ac:dyDescent="0.2">
      <c r="B30" s="66" t="s">
        <v>407</v>
      </c>
    </row>
    <row r="31" spans="2:2" x14ac:dyDescent="0.2">
      <c r="B31" s="66" t="s">
        <v>408</v>
      </c>
    </row>
    <row r="32" spans="2:2" x14ac:dyDescent="0.2">
      <c r="B32" s="66" t="s">
        <v>409</v>
      </c>
    </row>
    <row r="33" spans="2:6" x14ac:dyDescent="0.2">
      <c r="B33" s="66" t="s">
        <v>410</v>
      </c>
    </row>
    <row r="35" spans="2:6" x14ac:dyDescent="0.2">
      <c r="B35" s="63" t="s">
        <v>411</v>
      </c>
    </row>
    <row r="37" spans="2:6" x14ac:dyDescent="0.2">
      <c r="B37" s="66" t="s">
        <v>412</v>
      </c>
    </row>
    <row r="38" spans="2:6" x14ac:dyDescent="0.2">
      <c r="B38" s="66" t="s">
        <v>413</v>
      </c>
    </row>
    <row r="39" spans="2:6" x14ac:dyDescent="0.2">
      <c r="B39" s="66" t="s">
        <v>414</v>
      </c>
    </row>
    <row r="40" spans="2:6" x14ac:dyDescent="0.2">
      <c r="B40" s="66" t="s">
        <v>415</v>
      </c>
    </row>
    <row r="41" spans="2:6" x14ac:dyDescent="0.2">
      <c r="B41" s="66" t="s">
        <v>416</v>
      </c>
    </row>
    <row r="42" spans="2:6" x14ac:dyDescent="0.2">
      <c r="B42" s="66" t="s">
        <v>417</v>
      </c>
    </row>
    <row r="43" spans="2:6" x14ac:dyDescent="0.2">
      <c r="B43" s="66" t="s">
        <v>418</v>
      </c>
    </row>
    <row r="45" spans="2:6" x14ac:dyDescent="0.2">
      <c r="C45" s="6" t="s">
        <v>419</v>
      </c>
    </row>
    <row r="46" spans="2:6" x14ac:dyDescent="0.2">
      <c r="B46" s="6" t="s">
        <v>103</v>
      </c>
      <c r="C46" s="6" t="s">
        <v>193</v>
      </c>
      <c r="D46" s="6" t="s">
        <v>194</v>
      </c>
      <c r="E46" s="6" t="s">
        <v>195</v>
      </c>
      <c r="F46" s="6" t="s">
        <v>196</v>
      </c>
    </row>
    <row r="47" spans="2:6" x14ac:dyDescent="0.2">
      <c r="B47" s="6">
        <v>0.05</v>
      </c>
      <c r="C47" s="6">
        <f>C8*$B8</f>
        <v>2500</v>
      </c>
      <c r="D47" s="6">
        <f t="shared" ref="D47:F47" si="0">D8*$B8</f>
        <v>2375</v>
      </c>
      <c r="E47" s="6">
        <f t="shared" si="0"/>
        <v>2250</v>
      </c>
      <c r="F47" s="6">
        <f t="shared" si="0"/>
        <v>2200</v>
      </c>
    </row>
    <row r="48" spans="2:6" x14ac:dyDescent="0.2">
      <c r="B48" s="6">
        <v>0.1</v>
      </c>
      <c r="C48" s="6">
        <f t="shared" ref="C48:F48" si="1">C9*$B9</f>
        <v>5000</v>
      </c>
      <c r="D48" s="6">
        <f t="shared" si="1"/>
        <v>4500</v>
      </c>
      <c r="E48" s="6">
        <f t="shared" si="1"/>
        <v>4300</v>
      </c>
      <c r="F48" s="6">
        <f t="shared" si="1"/>
        <v>3600</v>
      </c>
    </row>
    <row r="49" spans="2:6" x14ac:dyDescent="0.2">
      <c r="B49" s="6">
        <v>0.2</v>
      </c>
      <c r="C49" s="6">
        <f t="shared" ref="C49:F49" si="2">C10*$B10</f>
        <v>5000</v>
      </c>
      <c r="D49" s="6">
        <f t="shared" si="2"/>
        <v>4100</v>
      </c>
      <c r="E49" s="6">
        <f t="shared" si="2"/>
        <v>3300</v>
      </c>
      <c r="F49" s="6">
        <f t="shared" si="2"/>
        <v>2800</v>
      </c>
    </row>
    <row r="50" spans="2:6" x14ac:dyDescent="0.2">
      <c r="B50" s="6" t="s">
        <v>16</v>
      </c>
      <c r="C50" s="6">
        <f>SUM(C47:C49)</f>
        <v>12500</v>
      </c>
      <c r="D50" s="6">
        <f t="shared" ref="D50:F50" si="3">SUM(D47:D49)</f>
        <v>10975</v>
      </c>
      <c r="E50" s="6">
        <f t="shared" si="3"/>
        <v>9850</v>
      </c>
      <c r="F50" s="6">
        <f t="shared" si="3"/>
        <v>8600</v>
      </c>
    </row>
    <row r="52" spans="2:6" x14ac:dyDescent="0.2">
      <c r="B52" s="6" t="s">
        <v>314</v>
      </c>
      <c r="C52" s="6">
        <f>C50/C11</f>
        <v>0.1</v>
      </c>
      <c r="D52" s="62">
        <f t="shared" ref="D52:F52" si="4">D50/D11</f>
        <v>9.7123893805309738E-2</v>
      </c>
      <c r="E52" s="62">
        <f t="shared" si="4"/>
        <v>9.4258373205741625E-2</v>
      </c>
      <c r="F52" s="62">
        <f t="shared" si="4"/>
        <v>9.1489361702127653E-2</v>
      </c>
    </row>
    <row r="53" spans="2:6" x14ac:dyDescent="0.2">
      <c r="B53" s="6" t="s">
        <v>420</v>
      </c>
      <c r="C53" s="6">
        <f>C52/$C52</f>
        <v>1</v>
      </c>
      <c r="D53" s="62">
        <f t="shared" ref="D53:F53" si="5">D52/$C52</f>
        <v>0.97123893805309736</v>
      </c>
      <c r="E53" s="62">
        <f t="shared" si="5"/>
        <v>0.94258373205741619</v>
      </c>
      <c r="F53" s="62">
        <f t="shared" si="5"/>
        <v>0.91489361702127647</v>
      </c>
    </row>
    <row r="54" spans="2:6" x14ac:dyDescent="0.2">
      <c r="B54" s="6" t="s">
        <v>247</v>
      </c>
      <c r="D54" s="62">
        <f>1-D53</f>
        <v>2.8761061946902644E-2</v>
      </c>
      <c r="E54" s="62">
        <f t="shared" ref="E54:F54" si="6">1-E53</f>
        <v>5.741626794258381E-2</v>
      </c>
      <c r="F54" s="62">
        <f t="shared" si="6"/>
        <v>8.5106382978723527E-2</v>
      </c>
    </row>
    <row r="55" spans="2:6" x14ac:dyDescent="0.2">
      <c r="B55" s="6" t="s">
        <v>421</v>
      </c>
      <c r="D55" s="6">
        <f>D54/$D54</f>
        <v>1</v>
      </c>
      <c r="E55" s="60">
        <f t="shared" ref="E55:F55" si="7">E54/$D54</f>
        <v>1.9963194700036839</v>
      </c>
      <c r="F55" s="60">
        <f t="shared" si="7"/>
        <v>2.9590834697217732</v>
      </c>
    </row>
    <row r="57" spans="2:6" x14ac:dyDescent="0.2">
      <c r="B57" s="6" t="s">
        <v>422</v>
      </c>
    </row>
    <row r="58" spans="2:6" x14ac:dyDescent="0.2">
      <c r="B58" s="6" t="s">
        <v>423</v>
      </c>
    </row>
    <row r="60" spans="2:6" x14ac:dyDescent="0.2">
      <c r="B60" s="63" t="s">
        <v>424</v>
      </c>
    </row>
    <row r="62" spans="2:6" x14ac:dyDescent="0.2">
      <c r="B62" s="6" t="s">
        <v>425</v>
      </c>
    </row>
    <row r="64" spans="2:6" x14ac:dyDescent="0.2">
      <c r="C64" s="6" t="s">
        <v>419</v>
      </c>
    </row>
    <row r="65" spans="2:6" x14ac:dyDescent="0.2">
      <c r="B65" s="6" t="s">
        <v>103</v>
      </c>
      <c r="C65" s="6" t="s">
        <v>193</v>
      </c>
      <c r="D65" s="6" t="s">
        <v>194</v>
      </c>
      <c r="E65" s="6" t="s">
        <v>195</v>
      </c>
      <c r="F65" s="6" t="s">
        <v>196</v>
      </c>
    </row>
    <row r="66" spans="2:6" x14ac:dyDescent="0.2">
      <c r="B66" s="6">
        <v>0.05</v>
      </c>
      <c r="C66" s="6">
        <f>C8*$B8</f>
        <v>2500</v>
      </c>
      <c r="D66" s="6">
        <f t="shared" ref="D66:F66" si="8">D8*$B8</f>
        <v>2375</v>
      </c>
      <c r="E66" s="6">
        <f t="shared" si="8"/>
        <v>2250</v>
      </c>
      <c r="F66" s="6">
        <f t="shared" si="8"/>
        <v>2200</v>
      </c>
    </row>
    <row r="67" spans="2:6" x14ac:dyDescent="0.2">
      <c r="B67" s="6">
        <v>0.1</v>
      </c>
      <c r="C67" s="6">
        <f t="shared" ref="C67:F67" si="9">C9*$B9</f>
        <v>5000</v>
      </c>
      <c r="D67" s="6">
        <f t="shared" si="9"/>
        <v>4500</v>
      </c>
      <c r="E67" s="6">
        <f t="shared" si="9"/>
        <v>4300</v>
      </c>
      <c r="F67" s="6">
        <f t="shared" si="9"/>
        <v>3600</v>
      </c>
    </row>
    <row r="68" spans="2:6" x14ac:dyDescent="0.2">
      <c r="B68" s="6">
        <v>0.2</v>
      </c>
      <c r="C68" s="6">
        <f t="shared" ref="C68:F68" si="10">C10*$B10</f>
        <v>5000</v>
      </c>
      <c r="D68" s="6">
        <f t="shared" si="10"/>
        <v>4100</v>
      </c>
      <c r="E68" s="6">
        <f t="shared" si="10"/>
        <v>3300</v>
      </c>
      <c r="F68" s="6">
        <f t="shared" si="10"/>
        <v>2800</v>
      </c>
    </row>
    <row r="69" spans="2:6" x14ac:dyDescent="0.2">
      <c r="B69" s="6" t="s">
        <v>16</v>
      </c>
      <c r="C69" s="6">
        <f>SUM(C66:C68)</f>
        <v>12500</v>
      </c>
      <c r="D69" s="6">
        <f t="shared" ref="D69" si="11">SUM(D66:D68)</f>
        <v>10975</v>
      </c>
      <c r="E69" s="6">
        <f t="shared" ref="E69" si="12">SUM(E66:E68)</f>
        <v>9850</v>
      </c>
      <c r="F69" s="6">
        <f t="shared" ref="F69" si="13">SUM(F66:F68)</f>
        <v>8600</v>
      </c>
    </row>
    <row r="71" spans="2:6" x14ac:dyDescent="0.2">
      <c r="C71" s="6" t="s">
        <v>426</v>
      </c>
    </row>
    <row r="72" spans="2:6" x14ac:dyDescent="0.2">
      <c r="C72" s="72" t="s">
        <v>16</v>
      </c>
      <c r="D72" s="72" t="s">
        <v>311</v>
      </c>
      <c r="E72" s="72" t="s">
        <v>167</v>
      </c>
      <c r="F72" s="72" t="s">
        <v>80</v>
      </c>
    </row>
    <row r="73" spans="2:6" x14ac:dyDescent="0.2">
      <c r="B73" s="6" t="s">
        <v>314</v>
      </c>
      <c r="C73" s="75">
        <f>SUM(C69:$F69)/SUM(C11:$F11)</f>
        <v>9.6048109965635745E-2</v>
      </c>
      <c r="D73" s="75">
        <f>SUM(D69:$F69)/SUM(D11:$F11)</f>
        <v>9.4462279293739973E-2</v>
      </c>
      <c r="E73" s="75">
        <f>SUM(E69:$F69)/SUM(E11:$F11)</f>
        <v>9.2947103274559198E-2</v>
      </c>
      <c r="F73" s="75">
        <f>SUM(F69:$F69)/SUM(F11:$F11)</f>
        <v>9.1489361702127653E-2</v>
      </c>
    </row>
    <row r="74" spans="2:6" x14ac:dyDescent="0.2">
      <c r="B74" s="6" t="s">
        <v>246</v>
      </c>
      <c r="C74" s="72">
        <f>C73/$C73</f>
        <v>1</v>
      </c>
      <c r="D74" s="76">
        <f t="shared" ref="D74:F74" si="14">D73/$C73</f>
        <v>0.98348920481138924</v>
      </c>
      <c r="E74" s="76">
        <f t="shared" si="14"/>
        <v>0.96771402693727104</v>
      </c>
      <c r="F74" s="76">
        <f t="shared" si="14"/>
        <v>0.95253682487725033</v>
      </c>
    </row>
    <row r="75" spans="2:6" x14ac:dyDescent="0.2">
      <c r="B75" s="6" t="s">
        <v>247</v>
      </c>
      <c r="C75" s="72"/>
      <c r="D75" s="76">
        <f>1-D74</f>
        <v>1.6510795188610761E-2</v>
      </c>
      <c r="E75" s="76">
        <f t="shared" ref="E75:F75" si="15">1-E74</f>
        <v>3.2285973062728957E-2</v>
      </c>
      <c r="F75" s="76">
        <f t="shared" si="15"/>
        <v>4.7463175122749668E-2</v>
      </c>
    </row>
    <row r="76" spans="2:6" x14ac:dyDescent="0.2">
      <c r="B76" s="6" t="s">
        <v>421</v>
      </c>
      <c r="C76" s="72"/>
      <c r="D76" s="72">
        <f>D75/$D75</f>
        <v>1</v>
      </c>
      <c r="E76" s="77">
        <f t="shared" ref="E76:F76" si="16">E75/$D75</f>
        <v>1.9554462818968286</v>
      </c>
      <c r="F76" s="77">
        <f t="shared" si="16"/>
        <v>2.8746753006475445</v>
      </c>
    </row>
    <row r="78" spans="2:6" x14ac:dyDescent="0.2">
      <c r="B78" s="6" t="s">
        <v>427</v>
      </c>
    </row>
    <row r="79" spans="2:6" x14ac:dyDescent="0.2">
      <c r="B79" s="6" t="s">
        <v>428</v>
      </c>
    </row>
    <row r="80" spans="2:6" x14ac:dyDescent="0.2">
      <c r="B80" s="6" t="s">
        <v>429</v>
      </c>
    </row>
  </sheetData>
  <conditionalFormatting sqref="B1">
    <cfRule type="cellIs" dxfId="3" priority="1" operator="equal">
      <formula>"Finished"</formula>
    </cfRule>
  </conditionalFormatting>
  <dataValidations disablePrompts="1" count="1">
    <dataValidation type="list" allowBlank="1" showInputMessage="1" showErrorMessage="1" sqref="B1" xr:uid="{ADD8C2BB-D9D1-49C6-B200-526FE09D5694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4754-8E22-4F04-82DC-FCF16A3E2651}">
  <dimension ref="A1:K44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199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200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201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2.75" x14ac:dyDescent="0.2">
      <c r="A7" s="10"/>
      <c r="B7" s="17" t="s">
        <v>104</v>
      </c>
      <c r="C7" s="17" t="s">
        <v>202</v>
      </c>
      <c r="D7" s="17" t="s">
        <v>203</v>
      </c>
      <c r="E7" s="17" t="s">
        <v>172</v>
      </c>
      <c r="F7" s="8"/>
      <c r="G7" s="8"/>
      <c r="H7" s="8"/>
      <c r="I7" s="8"/>
      <c r="J7" s="8"/>
      <c r="K7" s="9"/>
    </row>
    <row r="8" spans="1:11" x14ac:dyDescent="0.2">
      <c r="A8" s="10"/>
      <c r="B8" s="18" t="s">
        <v>204</v>
      </c>
      <c r="C8" s="18">
        <v>250</v>
      </c>
      <c r="D8" s="19">
        <v>500000</v>
      </c>
      <c r="E8" s="19">
        <v>15000</v>
      </c>
      <c r="F8" s="8"/>
      <c r="G8" s="8"/>
      <c r="H8" s="8"/>
      <c r="I8" s="8"/>
      <c r="J8" s="8"/>
      <c r="K8" s="9"/>
    </row>
    <row r="9" spans="1:11" x14ac:dyDescent="0.2">
      <c r="A9" s="10"/>
      <c r="B9" s="18" t="s">
        <v>205</v>
      </c>
      <c r="C9" s="18">
        <v>100</v>
      </c>
      <c r="D9" s="19">
        <v>90000</v>
      </c>
      <c r="E9" s="19">
        <v>13500</v>
      </c>
      <c r="F9" s="8"/>
      <c r="G9" s="8"/>
      <c r="H9" s="8"/>
      <c r="I9" s="8"/>
      <c r="J9" s="8"/>
      <c r="K9" s="9"/>
    </row>
    <row r="10" spans="1:11" x14ac:dyDescent="0.2">
      <c r="A10" s="10"/>
      <c r="B10" s="18" t="s">
        <v>206</v>
      </c>
      <c r="C10" s="18">
        <v>80</v>
      </c>
      <c r="D10" s="19">
        <v>60000</v>
      </c>
      <c r="E10" s="19">
        <v>8000</v>
      </c>
      <c r="F10" s="8"/>
      <c r="G10" s="8"/>
      <c r="H10" s="8"/>
      <c r="I10" s="8"/>
      <c r="J10" s="8"/>
      <c r="K10" s="9"/>
    </row>
    <row r="11" spans="1:11" x14ac:dyDescent="0.2">
      <c r="A11" s="10"/>
      <c r="B11" s="18">
        <v>0</v>
      </c>
      <c r="C11" s="18">
        <v>70</v>
      </c>
      <c r="D11" s="19">
        <v>50000</v>
      </c>
      <c r="E11" s="19">
        <v>10500</v>
      </c>
      <c r="F11" s="8"/>
      <c r="G11" s="8"/>
      <c r="H11" s="8"/>
      <c r="I11" s="8"/>
      <c r="J11" s="8"/>
      <c r="K11" s="9"/>
    </row>
    <row r="12" spans="1:11" x14ac:dyDescent="0.2">
      <c r="A12" s="10"/>
      <c r="B12" s="18" t="s">
        <v>16</v>
      </c>
      <c r="C12" s="18">
        <v>500</v>
      </c>
      <c r="D12" s="19">
        <v>700000</v>
      </c>
      <c r="E12" s="19">
        <v>47000</v>
      </c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ht="28.5" x14ac:dyDescent="0.2">
      <c r="A14" s="10"/>
      <c r="B14" s="8"/>
      <c r="C14" s="18" t="s">
        <v>163</v>
      </c>
      <c r="D14" s="18" t="s">
        <v>207</v>
      </c>
      <c r="E14" s="17" t="s">
        <v>208</v>
      </c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18" t="s">
        <v>12</v>
      </c>
      <c r="D15" s="18">
        <v>0.05</v>
      </c>
      <c r="E15" s="19">
        <v>1500</v>
      </c>
      <c r="F15" s="8"/>
      <c r="G15" s="8"/>
      <c r="H15" s="8"/>
      <c r="I15" s="8"/>
      <c r="J15" s="8"/>
      <c r="K15" s="9"/>
    </row>
    <row r="16" spans="1:11" x14ac:dyDescent="0.2">
      <c r="A16" s="10"/>
      <c r="B16" s="8"/>
      <c r="C16" s="18" t="s">
        <v>15</v>
      </c>
      <c r="D16" s="35">
        <v>0.1</v>
      </c>
      <c r="E16" s="19">
        <v>2000</v>
      </c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18" t="s">
        <v>106</v>
      </c>
      <c r="D17" s="18">
        <v>0.15</v>
      </c>
      <c r="E17" s="19">
        <v>1250</v>
      </c>
      <c r="F17" s="8"/>
      <c r="G17" s="8"/>
      <c r="H17" s="8"/>
      <c r="I17" s="8"/>
      <c r="J17" s="8"/>
      <c r="K17" s="9"/>
    </row>
    <row r="18" spans="1:11" x14ac:dyDescent="0.2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>
        <v>0.75</v>
      </c>
      <c r="B19" s="8" t="s">
        <v>22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 t="s">
        <v>209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/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>
        <v>0.75</v>
      </c>
      <c r="B22" s="8" t="s">
        <v>25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 t="s">
        <v>210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/>
      <c r="B24" s="8" t="s">
        <v>211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ht="15" thickBot="1" x14ac:dyDescent="0.25">
      <c r="A25" s="11"/>
      <c r="B25" s="12"/>
      <c r="C25" s="13"/>
      <c r="D25" s="13"/>
      <c r="E25" s="13"/>
      <c r="F25" s="12"/>
      <c r="G25" s="12"/>
      <c r="H25" s="12"/>
      <c r="I25" s="12"/>
      <c r="J25" s="12"/>
      <c r="K25" s="14"/>
    </row>
    <row r="27" spans="1:11" x14ac:dyDescent="0.2">
      <c r="A27" s="6" t="s">
        <v>22</v>
      </c>
      <c r="B27" s="66" t="s">
        <v>430</v>
      </c>
    </row>
    <row r="28" spans="1:11" x14ac:dyDescent="0.2">
      <c r="B28" s="66" t="s">
        <v>431</v>
      </c>
    </row>
    <row r="29" spans="1:11" x14ac:dyDescent="0.2">
      <c r="B29" s="66" t="s">
        <v>432</v>
      </c>
    </row>
    <row r="31" spans="1:11" x14ac:dyDescent="0.2">
      <c r="B31" s="6" t="s">
        <v>433</v>
      </c>
    </row>
    <row r="32" spans="1:11" x14ac:dyDescent="0.2">
      <c r="B32" s="6" t="s">
        <v>434</v>
      </c>
    </row>
    <row r="33" spans="1:6" x14ac:dyDescent="0.2">
      <c r="B33" s="6" t="s">
        <v>435</v>
      </c>
    </row>
    <row r="34" spans="1:6" x14ac:dyDescent="0.2">
      <c r="B34" s="6" t="s">
        <v>436</v>
      </c>
    </row>
    <row r="36" spans="1:6" x14ac:dyDescent="0.2">
      <c r="A36" s="6" t="s">
        <v>25</v>
      </c>
      <c r="B36" s="66" t="s">
        <v>437</v>
      </c>
    </row>
    <row r="37" spans="1:6" x14ac:dyDescent="0.2">
      <c r="B37" s="66" t="s">
        <v>438</v>
      </c>
    </row>
    <row r="38" spans="1:6" x14ac:dyDescent="0.2">
      <c r="B38" s="66" t="s">
        <v>439</v>
      </c>
    </row>
    <row r="39" spans="1:6" x14ac:dyDescent="0.2">
      <c r="B39" s="66" t="s">
        <v>440</v>
      </c>
    </row>
    <row r="41" spans="1:6" x14ac:dyDescent="0.2">
      <c r="B41" s="6" t="s">
        <v>103</v>
      </c>
      <c r="C41" s="6" t="s">
        <v>314</v>
      </c>
      <c r="D41" s="6" t="s">
        <v>274</v>
      </c>
      <c r="E41" s="6" t="s">
        <v>260</v>
      </c>
      <c r="F41" s="6" t="s">
        <v>421</v>
      </c>
    </row>
    <row r="42" spans="1:6" x14ac:dyDescent="0.2">
      <c r="B42" s="6" t="s">
        <v>80</v>
      </c>
      <c r="C42" s="65">
        <f>SUM(E$8:E9)/(SUM(C$8:C9)*1000)</f>
        <v>8.1428571428571433E-2</v>
      </c>
      <c r="D42" s="62">
        <f>C42/C$44</f>
        <v>0.86626139817629189</v>
      </c>
      <c r="E42" s="62">
        <f>1-D42</f>
        <v>0.13373860182370811</v>
      </c>
      <c r="F42" s="62">
        <f>E42/E43</f>
        <v>1.379008746355683</v>
      </c>
    </row>
    <row r="43" spans="1:6" x14ac:dyDescent="0.2">
      <c r="B43" s="6" t="s">
        <v>311</v>
      </c>
      <c r="C43" s="65">
        <f>SUM(E$8:E10)/(SUM(C$8:C10)*1000)</f>
        <v>8.4883720930232553E-2</v>
      </c>
      <c r="D43" s="62">
        <f t="shared" ref="D43" si="0">C43/C$44</f>
        <v>0.90301830776843139</v>
      </c>
      <c r="E43" s="62">
        <f>1-D43</f>
        <v>9.6981692231568606E-2</v>
      </c>
    </row>
    <row r="44" spans="1:6" x14ac:dyDescent="0.2">
      <c r="B44" s="6" t="s">
        <v>16</v>
      </c>
      <c r="C44" s="6">
        <f>E12/(C12*1000)</f>
        <v>9.4E-2</v>
      </c>
      <c r="D44" s="62"/>
    </row>
  </sheetData>
  <conditionalFormatting sqref="B1">
    <cfRule type="cellIs" dxfId="2" priority="1" operator="equal">
      <formula>"Finished"</formula>
    </cfRule>
  </conditionalFormatting>
  <dataValidations disablePrompts="1" count="1">
    <dataValidation type="list" allowBlank="1" showInputMessage="1" showErrorMessage="1" sqref="B1" xr:uid="{4D6F9746-7BE3-4ED1-86BE-D70739C57B7D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34F77-E716-478E-9308-088334888B36}">
  <dimension ref="A1:K22"/>
  <sheetViews>
    <sheetView zoomScaleNormal="100" workbookViewId="0"/>
  </sheetViews>
  <sheetFormatPr defaultColWidth="8.85546875" defaultRowHeight="14.25" x14ac:dyDescent="0.2"/>
  <cols>
    <col min="1" max="1" width="24.57031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31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32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33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 t="s">
        <v>34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22" t="s">
        <v>35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8" t="s">
        <v>36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2">
      <c r="A10" s="10"/>
      <c r="B10" s="22" t="s">
        <v>37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8" t="s">
        <v>38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22" t="s">
        <v>39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40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22" t="s">
        <v>41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5" thickBot="1" x14ac:dyDescent="0.25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  <row r="17" spans="2:2" x14ac:dyDescent="0.2">
      <c r="B17" s="6" t="s">
        <v>235</v>
      </c>
    </row>
    <row r="18" spans="2:2" x14ac:dyDescent="0.2">
      <c r="B18" s="6" t="s">
        <v>236</v>
      </c>
    </row>
    <row r="19" spans="2:2" x14ac:dyDescent="0.2">
      <c r="B19" s="6" t="s">
        <v>237</v>
      </c>
    </row>
    <row r="20" spans="2:2" x14ac:dyDescent="0.2">
      <c r="B20" s="6" t="s">
        <v>238</v>
      </c>
    </row>
    <row r="21" spans="2:2" x14ac:dyDescent="0.2">
      <c r="B21" s="6" t="s">
        <v>239</v>
      </c>
    </row>
    <row r="22" spans="2:2" x14ac:dyDescent="0.2">
      <c r="B22" s="6" t="s">
        <v>240</v>
      </c>
    </row>
  </sheetData>
  <conditionalFormatting sqref="B1">
    <cfRule type="cellIs" dxfId="19" priority="1" operator="equal">
      <formula>"Finished"</formula>
    </cfRule>
  </conditionalFormatting>
  <dataValidations count="1">
    <dataValidation type="list" allowBlank="1" showInputMessage="1" showErrorMessage="1" sqref="B1" xr:uid="{38A17036-5BBB-4D28-94D2-0CBD6DB100E1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671EB-86B2-4595-9FBB-E3341FEFE6C5}">
  <dimension ref="A1:K66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212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150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151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57" x14ac:dyDescent="0.2">
      <c r="A7" s="10"/>
      <c r="B7" s="17" t="s">
        <v>103</v>
      </c>
      <c r="C7" s="17" t="s">
        <v>104</v>
      </c>
      <c r="D7" s="17" t="s">
        <v>213</v>
      </c>
      <c r="E7" s="17" t="s">
        <v>214</v>
      </c>
      <c r="F7" s="17" t="s">
        <v>9</v>
      </c>
      <c r="G7" s="8"/>
      <c r="H7" s="8"/>
      <c r="I7" s="8"/>
      <c r="J7" s="8"/>
      <c r="K7" s="9"/>
    </row>
    <row r="8" spans="1:11" x14ac:dyDescent="0.2">
      <c r="A8" s="10"/>
      <c r="B8" s="40" t="s">
        <v>12</v>
      </c>
      <c r="C8" s="40" t="s">
        <v>89</v>
      </c>
      <c r="D8" s="43">
        <v>216000000</v>
      </c>
      <c r="E8" s="46">
        <v>0.6</v>
      </c>
      <c r="F8" s="43">
        <v>25000</v>
      </c>
      <c r="G8" s="8"/>
      <c r="H8" s="8"/>
      <c r="I8" s="8"/>
      <c r="J8" s="8"/>
      <c r="K8" s="9"/>
    </row>
    <row r="9" spans="1:11" x14ac:dyDescent="0.2">
      <c r="A9" s="10"/>
      <c r="B9" s="41" t="s">
        <v>13</v>
      </c>
      <c r="C9" s="41">
        <v>2</v>
      </c>
      <c r="D9" s="44">
        <v>135000000</v>
      </c>
      <c r="E9" s="47">
        <v>0.75</v>
      </c>
      <c r="F9" s="44">
        <v>18000</v>
      </c>
      <c r="G9" s="8"/>
      <c r="H9" s="8"/>
      <c r="I9" s="8"/>
      <c r="J9" s="8"/>
      <c r="K9" s="9"/>
    </row>
    <row r="10" spans="1:11" x14ac:dyDescent="0.2">
      <c r="A10" s="10"/>
      <c r="B10" s="41" t="s">
        <v>14</v>
      </c>
      <c r="C10" s="41">
        <v>1</v>
      </c>
      <c r="D10" s="44">
        <v>63750000</v>
      </c>
      <c r="E10" s="47">
        <v>0.85</v>
      </c>
      <c r="F10" s="44">
        <v>20000</v>
      </c>
      <c r="G10" s="8"/>
      <c r="H10" s="8"/>
      <c r="I10" s="8"/>
      <c r="J10" s="8"/>
      <c r="K10" s="9"/>
    </row>
    <row r="11" spans="1:11" x14ac:dyDescent="0.2">
      <c r="A11" s="10"/>
      <c r="B11" s="42" t="s">
        <v>15</v>
      </c>
      <c r="C11" s="42">
        <v>0</v>
      </c>
      <c r="D11" s="45">
        <v>200000000</v>
      </c>
      <c r="E11" s="48">
        <v>1</v>
      </c>
      <c r="F11" s="42" t="s">
        <v>106</v>
      </c>
      <c r="G11" s="8"/>
      <c r="H11" s="8"/>
      <c r="I11" s="8"/>
      <c r="J11" s="8"/>
      <c r="K11" s="9"/>
    </row>
    <row r="12" spans="1:11" x14ac:dyDescent="0.2">
      <c r="A12" s="10"/>
      <c r="B12" s="18" t="s">
        <v>16</v>
      </c>
      <c r="C12" s="18"/>
      <c r="D12" s="19">
        <v>614750000</v>
      </c>
      <c r="E12" s="18"/>
      <c r="F12" s="18" t="s">
        <v>215</v>
      </c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49">
        <v>0.05</v>
      </c>
      <c r="C14" s="51" t="s">
        <v>216</v>
      </c>
      <c r="D14" s="52"/>
      <c r="E14" s="52"/>
      <c r="F14" s="52"/>
      <c r="G14" s="52"/>
      <c r="H14" s="52"/>
      <c r="I14" s="53"/>
      <c r="J14" s="8"/>
      <c r="K14" s="9"/>
    </row>
    <row r="15" spans="1:11" x14ac:dyDescent="0.2">
      <c r="A15" s="10"/>
      <c r="B15" s="50">
        <v>3.7999999999999999E-2</v>
      </c>
      <c r="C15" s="54" t="s">
        <v>217</v>
      </c>
      <c r="D15" s="39"/>
      <c r="E15" s="39"/>
      <c r="F15" s="39"/>
      <c r="G15" s="39"/>
      <c r="H15" s="39"/>
      <c r="I15" s="55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>
        <v>1.5</v>
      </c>
      <c r="B17" s="8" t="s">
        <v>22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218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>
        <v>0.75</v>
      </c>
      <c r="B20" s="8" t="s">
        <v>25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219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220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>
        <v>0.5</v>
      </c>
      <c r="B24" s="8" t="s">
        <v>28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/>
      <c r="B25" s="8" t="s">
        <v>221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2">
      <c r="A26" s="10"/>
      <c r="B26" s="8" t="s">
        <v>222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ht="15" thickBot="1" x14ac:dyDescent="0.25">
      <c r="A27" s="11"/>
      <c r="B27" s="12"/>
      <c r="C27" s="13"/>
      <c r="D27" s="13"/>
      <c r="E27" s="13"/>
      <c r="F27" s="12"/>
      <c r="G27" s="12"/>
      <c r="H27" s="12"/>
      <c r="I27" s="12"/>
      <c r="J27" s="12"/>
      <c r="K27" s="14"/>
    </row>
    <row r="29" spans="1:11" x14ac:dyDescent="0.2">
      <c r="A29" s="6" t="s">
        <v>22</v>
      </c>
      <c r="B29" s="6" t="s">
        <v>334</v>
      </c>
      <c r="C29" s="6">
        <f>1/(1-EXP(-B14))</f>
        <v>20.504166493065892</v>
      </c>
    </row>
    <row r="31" spans="1:11" x14ac:dyDescent="0.2">
      <c r="B31" s="6" t="s">
        <v>274</v>
      </c>
      <c r="C31" s="62">
        <f>C29*B15+(1-B15)</f>
        <v>1.7411583267365038</v>
      </c>
    </row>
    <row r="33" spans="1:5" x14ac:dyDescent="0.2">
      <c r="B33" s="66" t="s">
        <v>441</v>
      </c>
    </row>
    <row r="34" spans="1:5" x14ac:dyDescent="0.2">
      <c r="B34" s="66" t="s">
        <v>442</v>
      </c>
    </row>
    <row r="36" spans="1:5" x14ac:dyDescent="0.2">
      <c r="B36" s="6" t="s">
        <v>103</v>
      </c>
      <c r="C36" s="6" t="s">
        <v>443</v>
      </c>
    </row>
    <row r="37" spans="1:5" x14ac:dyDescent="0.2">
      <c r="B37" s="6" t="s">
        <v>12</v>
      </c>
      <c r="C37" s="6">
        <f>D8/E8</f>
        <v>360000000</v>
      </c>
    </row>
    <row r="38" spans="1:5" x14ac:dyDescent="0.2">
      <c r="B38" s="6" t="s">
        <v>13</v>
      </c>
      <c r="C38" s="6">
        <f t="shared" ref="C38:C40" si="0">D9/E9</f>
        <v>180000000</v>
      </c>
    </row>
    <row r="39" spans="1:5" x14ac:dyDescent="0.2">
      <c r="B39" s="6" t="s">
        <v>14</v>
      </c>
      <c r="C39" s="6">
        <f t="shared" si="0"/>
        <v>75000000</v>
      </c>
    </row>
    <row r="40" spans="1:5" x14ac:dyDescent="0.2">
      <c r="B40" s="6" t="s">
        <v>15</v>
      </c>
      <c r="C40" s="6">
        <f t="shared" si="0"/>
        <v>200000000</v>
      </c>
    </row>
    <row r="41" spans="1:5" x14ac:dyDescent="0.2">
      <c r="B41" s="6" t="s">
        <v>16</v>
      </c>
      <c r="C41" s="6">
        <f>SUM(C37:C40)</f>
        <v>815000000</v>
      </c>
    </row>
    <row r="43" spans="1:5" x14ac:dyDescent="0.2">
      <c r="B43" s="6" t="s">
        <v>444</v>
      </c>
      <c r="E43" s="6">
        <f>C31/C41*C40</f>
        <v>0.42727811699055307</v>
      </c>
    </row>
    <row r="45" spans="1:5" x14ac:dyDescent="0.2">
      <c r="B45" s="63" t="s">
        <v>106</v>
      </c>
      <c r="C45" s="78">
        <f>E43*SUM(F8:F10)/(1-E43)</f>
        <v>47001.035177768521</v>
      </c>
    </row>
    <row r="47" spans="1:5" x14ac:dyDescent="0.2">
      <c r="A47" s="6" t="s">
        <v>25</v>
      </c>
      <c r="B47" s="66" t="s">
        <v>445</v>
      </c>
    </row>
    <row r="48" spans="1:5" x14ac:dyDescent="0.2">
      <c r="B48" s="66" t="s">
        <v>446</v>
      </c>
    </row>
    <row r="49" spans="1:3" x14ac:dyDescent="0.2">
      <c r="B49" s="66" t="s">
        <v>447</v>
      </c>
    </row>
    <row r="50" spans="1:3" x14ac:dyDescent="0.2">
      <c r="B50" s="66" t="s">
        <v>448</v>
      </c>
    </row>
    <row r="52" spans="1:3" x14ac:dyDescent="0.2">
      <c r="B52" s="6" t="s">
        <v>449</v>
      </c>
      <c r="C52" s="6">
        <f>(F8+F9)/(C37+C38)</f>
        <v>7.9629629629629636E-5</v>
      </c>
    </row>
    <row r="53" spans="1:3" x14ac:dyDescent="0.2">
      <c r="B53" s="6" t="s">
        <v>387</v>
      </c>
      <c r="C53" s="6">
        <f>SUM(F8:F10,C45)/C41</f>
        <v>1.3497059531014543E-4</v>
      </c>
    </row>
    <row r="55" spans="1:3" x14ac:dyDescent="0.2">
      <c r="B55" s="63" t="s">
        <v>274</v>
      </c>
      <c r="C55" s="67">
        <f>C52/C53</f>
        <v>0.58997761287672157</v>
      </c>
    </row>
    <row r="57" spans="1:3" x14ac:dyDescent="0.2">
      <c r="A57" s="6" t="s">
        <v>28</v>
      </c>
      <c r="B57" s="66" t="s">
        <v>450</v>
      </c>
    </row>
    <row r="58" spans="1:3" x14ac:dyDescent="0.2">
      <c r="B58" s="66" t="s">
        <v>451</v>
      </c>
    </row>
    <row r="59" spans="1:3" x14ac:dyDescent="0.2">
      <c r="B59" s="66" t="s">
        <v>452</v>
      </c>
    </row>
    <row r="60" spans="1:3" x14ac:dyDescent="0.2">
      <c r="B60" s="66" t="s">
        <v>453</v>
      </c>
    </row>
    <row r="62" spans="1:3" x14ac:dyDescent="0.2">
      <c r="B62" s="6" t="s">
        <v>455</v>
      </c>
    </row>
    <row r="63" spans="1:3" x14ac:dyDescent="0.2">
      <c r="B63" s="6" t="s">
        <v>454</v>
      </c>
    </row>
    <row r="65" spans="2:2" x14ac:dyDescent="0.2">
      <c r="B65" s="6" t="s">
        <v>456</v>
      </c>
    </row>
    <row r="66" spans="2:2" x14ac:dyDescent="0.2">
      <c r="B66" s="6" t="s">
        <v>457</v>
      </c>
    </row>
  </sheetData>
  <conditionalFormatting sqref="B1">
    <cfRule type="cellIs" dxfId="1" priority="1" operator="equal">
      <formula>"Finished"</formula>
    </cfRule>
  </conditionalFormatting>
  <dataValidations disablePrompts="1" count="1">
    <dataValidation type="list" allowBlank="1" showInputMessage="1" showErrorMessage="1" sqref="B1" xr:uid="{F345ABCA-1592-4C5E-B2E9-E963A085017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C7D4-BBE3-4BA8-9D7B-7469D21106D8}">
  <dimension ref="A1:K58"/>
  <sheetViews>
    <sheetView zoomScaleNormal="100" workbookViewId="0"/>
  </sheetViews>
  <sheetFormatPr defaultColWidth="8.85546875" defaultRowHeight="14.25" x14ac:dyDescent="0.2"/>
  <cols>
    <col min="1" max="1" width="24.57031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223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224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225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 t="s">
        <v>226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8"/>
      <c r="C8" s="8"/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49">
        <v>10</v>
      </c>
      <c r="C9" s="51" t="s">
        <v>227</v>
      </c>
      <c r="D9" s="52"/>
      <c r="E9" s="52"/>
      <c r="F9" s="52"/>
      <c r="G9" s="52"/>
      <c r="H9" s="52"/>
      <c r="I9" s="52"/>
      <c r="J9" s="53"/>
      <c r="K9" s="9"/>
    </row>
    <row r="10" spans="1:11" x14ac:dyDescent="0.2">
      <c r="A10" s="10"/>
      <c r="B10" s="56">
        <v>0.10100000000000001</v>
      </c>
      <c r="C10" s="57" t="s">
        <v>228</v>
      </c>
      <c r="D10" s="8"/>
      <c r="E10" s="8"/>
      <c r="F10" s="8"/>
      <c r="G10" s="8"/>
      <c r="H10" s="8"/>
      <c r="I10" s="8"/>
      <c r="J10" s="58"/>
      <c r="K10" s="9"/>
    </row>
    <row r="11" spans="1:11" x14ac:dyDescent="0.2">
      <c r="A11" s="10"/>
      <c r="B11" s="50">
        <v>0.02</v>
      </c>
      <c r="C11" s="54" t="s">
        <v>229</v>
      </c>
      <c r="D11" s="39"/>
      <c r="E11" s="39"/>
      <c r="F11" s="39"/>
      <c r="G11" s="39"/>
      <c r="H11" s="39"/>
      <c r="I11" s="39"/>
      <c r="J11" s="55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230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>
        <v>1.25</v>
      </c>
      <c r="B20" s="8" t="s">
        <v>22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231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232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2">
      <c r="A24" s="10">
        <v>0.5</v>
      </c>
      <c r="B24" s="8" t="s">
        <v>25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">
      <c r="A25" s="10"/>
      <c r="B25" s="8" t="s">
        <v>233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ht="15" thickBot="1" x14ac:dyDescent="0.25">
      <c r="A26" s="11"/>
      <c r="B26" s="12" t="s">
        <v>234</v>
      </c>
      <c r="C26" s="13"/>
      <c r="D26" s="13"/>
      <c r="E26" s="13"/>
      <c r="F26" s="12"/>
      <c r="G26" s="12"/>
      <c r="H26" s="12"/>
      <c r="I26" s="12"/>
      <c r="J26" s="12"/>
      <c r="K26" s="14"/>
    </row>
    <row r="28" spans="1:11" x14ac:dyDescent="0.2">
      <c r="A28" s="6" t="s">
        <v>22</v>
      </c>
      <c r="B28" s="6" t="s">
        <v>458</v>
      </c>
    </row>
    <row r="30" spans="1:11" x14ac:dyDescent="0.2">
      <c r="B30" s="6" t="s">
        <v>459</v>
      </c>
    </row>
    <row r="32" spans="1:11" x14ac:dyDescent="0.2">
      <c r="B32" s="66" t="s">
        <v>460</v>
      </c>
    </row>
    <row r="33" spans="1:4" x14ac:dyDescent="0.2">
      <c r="B33" s="66" t="s">
        <v>461</v>
      </c>
    </row>
    <row r="35" spans="1:4" x14ac:dyDescent="0.2">
      <c r="B35" s="6" t="s">
        <v>462</v>
      </c>
      <c r="D35" s="6">
        <f>B10/B9</f>
        <v>1.0100000000000001E-2</v>
      </c>
    </row>
    <row r="37" spans="1:4" x14ac:dyDescent="0.2">
      <c r="B37" s="6" t="s">
        <v>463</v>
      </c>
      <c r="C37" s="65">
        <f>D35/(1+D35)</f>
        <v>9.9990099990100011E-3</v>
      </c>
    </row>
    <row r="39" spans="1:4" x14ac:dyDescent="0.2">
      <c r="B39" s="6" t="s">
        <v>334</v>
      </c>
      <c r="C39" s="6">
        <f>1/(1-(1-C37)^B9)</f>
        <v>10.459279392021259</v>
      </c>
    </row>
    <row r="41" spans="1:4" x14ac:dyDescent="0.2">
      <c r="B41" s="63" t="s">
        <v>274</v>
      </c>
      <c r="C41" s="64">
        <f>B11*C39+(1-B11)</f>
        <v>1.1891855878404252</v>
      </c>
    </row>
    <row r="43" spans="1:4" x14ac:dyDescent="0.2">
      <c r="A43" s="6" t="s">
        <v>25</v>
      </c>
      <c r="B43" s="66" t="s">
        <v>464</v>
      </c>
    </row>
    <row r="44" spans="1:4" x14ac:dyDescent="0.2">
      <c r="B44" s="66" t="s">
        <v>465</v>
      </c>
    </row>
    <row r="45" spans="1:4" x14ac:dyDescent="0.2">
      <c r="B45" s="66" t="s">
        <v>466</v>
      </c>
    </row>
    <row r="46" spans="1:4" x14ac:dyDescent="0.2">
      <c r="B46" s="66" t="s">
        <v>467</v>
      </c>
    </row>
    <row r="48" spans="1:4" x14ac:dyDescent="0.2">
      <c r="B48" s="63" t="s">
        <v>468</v>
      </c>
    </row>
    <row r="50" spans="2:2" x14ac:dyDescent="0.2">
      <c r="B50" s="6" t="s">
        <v>469</v>
      </c>
    </row>
    <row r="51" spans="2:2" x14ac:dyDescent="0.2">
      <c r="B51" s="6" t="s">
        <v>470</v>
      </c>
    </row>
    <row r="52" spans="2:2" x14ac:dyDescent="0.2">
      <c r="B52" s="6" t="s">
        <v>471</v>
      </c>
    </row>
    <row r="54" spans="2:2" x14ac:dyDescent="0.2">
      <c r="B54" s="63" t="s">
        <v>472</v>
      </c>
    </row>
    <row r="56" spans="2:2" x14ac:dyDescent="0.2">
      <c r="B56" s="6" t="s">
        <v>473</v>
      </c>
    </row>
    <row r="57" spans="2:2" x14ac:dyDescent="0.2">
      <c r="B57" s="6" t="s">
        <v>474</v>
      </c>
    </row>
    <row r="58" spans="2:2" x14ac:dyDescent="0.2">
      <c r="B58" s="6" t="s">
        <v>475</v>
      </c>
    </row>
  </sheetData>
  <conditionalFormatting sqref="B1">
    <cfRule type="cellIs" dxfId="0" priority="1" operator="equal">
      <formula>"Finished"</formula>
    </cfRule>
  </conditionalFormatting>
  <dataValidations disablePrompts="1" count="1">
    <dataValidation type="list" allowBlank="1" showInputMessage="1" showErrorMessage="1" sqref="B1" xr:uid="{E3AEA534-EA02-444E-BC30-943378614A8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C8717-8C6C-4096-9236-852D9F9EC58F}">
  <dimension ref="A1:K41"/>
  <sheetViews>
    <sheetView zoomScaleNormal="100" workbookViewId="0"/>
  </sheetViews>
  <sheetFormatPr defaultColWidth="8.85546875" defaultRowHeight="14.25" x14ac:dyDescent="0.2"/>
  <cols>
    <col min="1" max="1" width="18.1406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42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43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 t="s">
        <v>44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>
        <v>1.5</v>
      </c>
      <c r="B7" s="8" t="s">
        <v>22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8" t="s">
        <v>45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8" t="s">
        <v>46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2">
      <c r="A10" s="10"/>
      <c r="B10" s="8"/>
      <c r="C10" s="8"/>
      <c r="D10" s="8"/>
      <c r="E10" s="8"/>
      <c r="F10" s="8"/>
      <c r="G10" s="8"/>
      <c r="H10" s="8"/>
      <c r="I10" s="8"/>
      <c r="J10" s="8"/>
      <c r="K10" s="9"/>
    </row>
    <row r="11" spans="1:11" ht="57" x14ac:dyDescent="0.2">
      <c r="A11" s="10"/>
      <c r="B11" s="23"/>
      <c r="C11" s="17" t="s">
        <v>47</v>
      </c>
      <c r="D11" s="17" t="s">
        <v>48</v>
      </c>
      <c r="E11" s="17" t="s">
        <v>9</v>
      </c>
      <c r="F11" s="17" t="s">
        <v>7</v>
      </c>
      <c r="G11" s="8"/>
      <c r="H11" s="8"/>
      <c r="I11" s="8"/>
      <c r="J11" s="8"/>
      <c r="K11" s="9"/>
    </row>
    <row r="12" spans="1:11" x14ac:dyDescent="0.2">
      <c r="A12" s="10"/>
      <c r="B12" s="18" t="s">
        <v>49</v>
      </c>
      <c r="C12" s="18" t="s">
        <v>50</v>
      </c>
      <c r="D12" s="25">
        <v>5000000</v>
      </c>
      <c r="E12" s="26">
        <v>7000</v>
      </c>
      <c r="F12" s="26">
        <v>15000</v>
      </c>
      <c r="G12" s="8"/>
      <c r="H12" s="8"/>
      <c r="I12" s="8"/>
      <c r="J12" s="8"/>
      <c r="K12" s="9"/>
    </row>
    <row r="13" spans="1:11" x14ac:dyDescent="0.2">
      <c r="A13" s="10"/>
      <c r="B13" s="23"/>
      <c r="C13" s="18">
        <v>1</v>
      </c>
      <c r="D13" s="25">
        <v>7000000</v>
      </c>
      <c r="E13" s="26">
        <v>10000</v>
      </c>
      <c r="F13" s="26">
        <v>12250</v>
      </c>
      <c r="G13" s="8"/>
      <c r="H13" s="8"/>
      <c r="I13" s="8"/>
      <c r="J13" s="8"/>
      <c r="K13" s="9"/>
    </row>
    <row r="14" spans="1:11" x14ac:dyDescent="0.2">
      <c r="A14" s="10"/>
      <c r="B14" s="23"/>
      <c r="C14" s="18">
        <v>0</v>
      </c>
      <c r="D14" s="25">
        <v>1000000</v>
      </c>
      <c r="E14" s="26">
        <v>2000</v>
      </c>
      <c r="F14" s="23">
        <v>400</v>
      </c>
      <c r="G14" s="8"/>
      <c r="H14" s="8"/>
      <c r="I14" s="8"/>
      <c r="J14" s="8"/>
      <c r="K14" s="9"/>
    </row>
    <row r="15" spans="1:11" x14ac:dyDescent="0.2">
      <c r="A15" s="10"/>
      <c r="B15" s="23"/>
      <c r="C15" s="18" t="s">
        <v>16</v>
      </c>
      <c r="D15" s="25">
        <v>13000000</v>
      </c>
      <c r="E15" s="26">
        <v>19000</v>
      </c>
      <c r="F15" s="26">
        <v>27650</v>
      </c>
      <c r="G15" s="8"/>
      <c r="H15" s="8"/>
      <c r="I15" s="8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>
        <v>0.5</v>
      </c>
      <c r="B17" s="8" t="s">
        <v>25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51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>
        <v>0.5</v>
      </c>
      <c r="B20" s="8" t="s">
        <v>28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52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53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5" thickBot="1" x14ac:dyDescent="0.25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  <row r="25" spans="1:11" x14ac:dyDescent="0.2">
      <c r="A25" s="6" t="s">
        <v>22</v>
      </c>
      <c r="B25" s="6" t="s">
        <v>254</v>
      </c>
    </row>
    <row r="26" spans="1:11" x14ac:dyDescent="0.2">
      <c r="B26" s="6" t="s">
        <v>255</v>
      </c>
    </row>
    <row r="28" spans="1:11" x14ac:dyDescent="0.2">
      <c r="B28" s="6" t="s">
        <v>256</v>
      </c>
    </row>
    <row r="30" spans="1:11" x14ac:dyDescent="0.2">
      <c r="B30" s="66" t="s">
        <v>257</v>
      </c>
    </row>
    <row r="31" spans="1:11" x14ac:dyDescent="0.2">
      <c r="B31" s="66" t="s">
        <v>258</v>
      </c>
    </row>
    <row r="33" spans="1:7" x14ac:dyDescent="0.2">
      <c r="B33" s="6" t="s">
        <v>259</v>
      </c>
      <c r="C33" s="62">
        <f>SUM(E12:E13)/SUM(D12:D13)/(E15/D15)</f>
        <v>0.9692982456140351</v>
      </c>
      <c r="E33" s="6" t="s">
        <v>260</v>
      </c>
      <c r="F33" s="62">
        <f>1-C33</f>
        <v>3.0701754385964897E-2</v>
      </c>
      <c r="G33" s="6" t="s">
        <v>262</v>
      </c>
    </row>
    <row r="34" spans="1:7" x14ac:dyDescent="0.2">
      <c r="B34" s="6" t="s">
        <v>261</v>
      </c>
      <c r="C34" s="62">
        <f>(E12/D12)/(E15/D15)</f>
        <v>0.95789473684210524</v>
      </c>
      <c r="E34" s="6" t="s">
        <v>260</v>
      </c>
      <c r="F34" s="62">
        <f>1-C34</f>
        <v>4.2105263157894757E-2</v>
      </c>
      <c r="G34" s="6" t="s">
        <v>262</v>
      </c>
    </row>
    <row r="36" spans="1:7" x14ac:dyDescent="0.2">
      <c r="A36" s="6" t="s">
        <v>25</v>
      </c>
      <c r="B36" s="6" t="s">
        <v>263</v>
      </c>
    </row>
    <row r="37" spans="1:7" x14ac:dyDescent="0.2">
      <c r="B37" s="6" t="s">
        <v>264</v>
      </c>
    </row>
    <row r="38" spans="1:7" x14ac:dyDescent="0.2">
      <c r="B38" s="6" t="s">
        <v>265</v>
      </c>
    </row>
    <row r="40" spans="1:7" x14ac:dyDescent="0.2">
      <c r="A40" s="6" t="s">
        <v>28</v>
      </c>
      <c r="B40" s="6" t="s">
        <v>267</v>
      </c>
    </row>
    <row r="41" spans="1:7" x14ac:dyDescent="0.2">
      <c r="B41" s="6" t="s">
        <v>266</v>
      </c>
    </row>
  </sheetData>
  <conditionalFormatting sqref="B1">
    <cfRule type="cellIs" dxfId="18" priority="1" operator="equal">
      <formula>"Finished"</formula>
    </cfRule>
  </conditionalFormatting>
  <dataValidations disablePrompts="1" count="1">
    <dataValidation type="list" allowBlank="1" showInputMessage="1" showErrorMessage="1" sqref="B1" xr:uid="{39C10F68-8E66-4072-9939-F6D60ABB225A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22FC9-BBA9-4F79-BAFA-93C92FBAC922}">
  <dimension ref="A1:K50"/>
  <sheetViews>
    <sheetView zoomScaleNormal="100" workbookViewId="0"/>
  </sheetViews>
  <sheetFormatPr defaultColWidth="8.85546875" defaultRowHeight="14.25" x14ac:dyDescent="0.2"/>
  <cols>
    <col min="1" max="1" width="18.1406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54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2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>
        <v>1.5</v>
      </c>
      <c r="B5" s="8" t="s">
        <v>22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 t="s">
        <v>56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8" t="s">
        <v>57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8" t="s">
        <v>58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2">
      <c r="A10" s="10"/>
      <c r="B10" s="8" t="s">
        <v>59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8" t="s">
        <v>60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ht="71.25" x14ac:dyDescent="0.2">
      <c r="A13" s="10"/>
      <c r="B13" s="23"/>
      <c r="C13" s="24" t="s">
        <v>7</v>
      </c>
      <c r="D13" s="24" t="s">
        <v>61</v>
      </c>
      <c r="E13" s="24" t="s">
        <v>62</v>
      </c>
      <c r="F13" s="8"/>
      <c r="G13" s="8"/>
      <c r="H13" s="8"/>
      <c r="I13" s="8"/>
      <c r="J13" s="8"/>
      <c r="K13" s="9"/>
    </row>
    <row r="14" spans="1:11" x14ac:dyDescent="0.2">
      <c r="A14" s="10"/>
      <c r="B14" s="23" t="s">
        <v>12</v>
      </c>
      <c r="C14" s="26">
        <v>50000</v>
      </c>
      <c r="D14" s="25">
        <v>5500000</v>
      </c>
      <c r="E14" s="26">
        <v>5000</v>
      </c>
      <c r="F14" s="8"/>
      <c r="G14" s="8"/>
      <c r="H14" s="8"/>
      <c r="I14" s="8"/>
      <c r="J14" s="8"/>
      <c r="K14" s="9"/>
    </row>
    <row r="15" spans="1:11" x14ac:dyDescent="0.2">
      <c r="A15" s="10"/>
      <c r="B15" s="23" t="s">
        <v>13</v>
      </c>
      <c r="C15" s="26">
        <v>6500</v>
      </c>
      <c r="D15" s="25">
        <v>682500</v>
      </c>
      <c r="E15" s="26">
        <v>1000</v>
      </c>
      <c r="F15" s="8"/>
      <c r="G15" s="8"/>
      <c r="H15" s="8"/>
      <c r="I15" s="8"/>
      <c r="J15" s="8"/>
      <c r="K15" s="9"/>
    </row>
    <row r="16" spans="1:11" x14ac:dyDescent="0.2">
      <c r="A16" s="10"/>
      <c r="B16" s="23" t="s">
        <v>14</v>
      </c>
      <c r="C16" s="26">
        <v>5000</v>
      </c>
      <c r="D16" s="25">
        <v>535000</v>
      </c>
      <c r="E16" s="23">
        <v>850</v>
      </c>
      <c r="F16" s="8"/>
      <c r="G16" s="8"/>
      <c r="H16" s="8"/>
      <c r="I16" s="8"/>
      <c r="J16" s="8"/>
      <c r="K16" s="9"/>
    </row>
    <row r="17" spans="1:11" x14ac:dyDescent="0.2">
      <c r="A17" s="10"/>
      <c r="B17" s="23" t="s">
        <v>15</v>
      </c>
      <c r="C17" s="26">
        <v>4500</v>
      </c>
      <c r="D17" s="25">
        <v>490500</v>
      </c>
      <c r="E17" s="23">
        <v>900</v>
      </c>
      <c r="F17" s="8"/>
      <c r="G17" s="8"/>
      <c r="H17" s="8"/>
      <c r="I17" s="8"/>
      <c r="J17" s="8"/>
      <c r="K17" s="9"/>
    </row>
    <row r="18" spans="1:11" x14ac:dyDescent="0.2">
      <c r="A18" s="10"/>
      <c r="B18" s="23" t="s">
        <v>63</v>
      </c>
      <c r="C18" s="26">
        <v>66000</v>
      </c>
      <c r="D18" s="25">
        <v>7208000</v>
      </c>
      <c r="E18" s="26">
        <v>7750</v>
      </c>
      <c r="F18" s="8"/>
      <c r="G18" s="8"/>
      <c r="H18" s="8"/>
      <c r="I18" s="8"/>
      <c r="J18" s="8"/>
      <c r="K18" s="9"/>
    </row>
    <row r="19" spans="1:11" x14ac:dyDescent="0.2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>
        <v>0.5</v>
      </c>
      <c r="B20" s="8" t="s">
        <v>25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/>
      <c r="B21" s="8" t="s">
        <v>64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ht="15" thickBot="1" x14ac:dyDescent="0.25">
      <c r="A22" s="11"/>
      <c r="B22" s="12"/>
      <c r="C22" s="13"/>
      <c r="D22" s="13"/>
      <c r="E22" s="13"/>
      <c r="F22" s="12"/>
      <c r="G22" s="12"/>
      <c r="H22" s="12"/>
      <c r="I22" s="12"/>
      <c r="J22" s="12"/>
      <c r="K22" s="14"/>
    </row>
    <row r="24" spans="1:11" x14ac:dyDescent="0.2">
      <c r="B24" s="66" t="s">
        <v>268</v>
      </c>
      <c r="H24" s="63"/>
    </row>
    <row r="25" spans="1:11" x14ac:dyDescent="0.2">
      <c r="B25" s="66" t="s">
        <v>269</v>
      </c>
    </row>
    <row r="27" spans="1:11" x14ac:dyDescent="0.2">
      <c r="A27" s="6" t="s">
        <v>22</v>
      </c>
      <c r="B27" s="63" t="s">
        <v>270</v>
      </c>
    </row>
    <row r="28" spans="1:11" x14ac:dyDescent="0.2">
      <c r="B28" s="63" t="s">
        <v>271</v>
      </c>
    </row>
    <row r="30" spans="1:11" x14ac:dyDescent="0.2">
      <c r="B30" s="6" t="s">
        <v>272</v>
      </c>
    </row>
    <row r="31" spans="1:11" x14ac:dyDescent="0.2">
      <c r="B31" s="6" t="s">
        <v>273</v>
      </c>
    </row>
    <row r="33" spans="2:4" x14ac:dyDescent="0.2">
      <c r="C33" s="6" t="s">
        <v>274</v>
      </c>
      <c r="D33" s="6" t="s">
        <v>247</v>
      </c>
    </row>
    <row r="34" spans="2:4" x14ac:dyDescent="0.2">
      <c r="B34" s="6" t="s">
        <v>244</v>
      </c>
      <c r="C34" s="62">
        <f>SUM(E14:E16)/SUM(D14:D16)/(E18/D18)</f>
        <v>0.94840966661464399</v>
      </c>
      <c r="D34" s="62">
        <f>1-C34</f>
        <v>5.1590333385356013E-2</v>
      </c>
    </row>
    <row r="35" spans="2:4" x14ac:dyDescent="0.2">
      <c r="B35" s="6" t="s">
        <v>243</v>
      </c>
      <c r="C35" s="62">
        <f>SUM(E14:E15)/SUM(D14:D15)/(E18/D18)</f>
        <v>0.90261012483205716</v>
      </c>
      <c r="D35" s="62">
        <f>1-C35</f>
        <v>9.7389875167942841E-2</v>
      </c>
    </row>
    <row r="37" spans="2:4" x14ac:dyDescent="0.2">
      <c r="B37" s="63" t="s">
        <v>275</v>
      </c>
    </row>
    <row r="39" spans="2:4" x14ac:dyDescent="0.2">
      <c r="C39" s="6" t="s">
        <v>274</v>
      </c>
      <c r="D39" s="6" t="s">
        <v>247</v>
      </c>
    </row>
    <row r="40" spans="2:4" x14ac:dyDescent="0.2">
      <c r="B40" s="6" t="s">
        <v>14</v>
      </c>
      <c r="C40" s="62">
        <f>(E16/D16)/(E18/D18)</f>
        <v>1.4776725957190231</v>
      </c>
      <c r="D40" s="62">
        <f>1-C40</f>
        <v>-0.4776725957190231</v>
      </c>
    </row>
    <row r="41" spans="2:4" x14ac:dyDescent="0.2">
      <c r="B41" s="6" t="s">
        <v>13</v>
      </c>
      <c r="C41" s="62">
        <f>(E15/D15)/(E18/D18)</f>
        <v>1.3627318917641498</v>
      </c>
      <c r="D41" s="62">
        <f>1-C41</f>
        <v>-0.36273189176414977</v>
      </c>
    </row>
    <row r="43" spans="2:4" x14ac:dyDescent="0.2">
      <c r="B43" s="66" t="s">
        <v>276</v>
      </c>
    </row>
    <row r="44" spans="2:4" x14ac:dyDescent="0.2">
      <c r="B44" s="66" t="s">
        <v>277</v>
      </c>
    </row>
    <row r="45" spans="2:4" x14ac:dyDescent="0.2">
      <c r="B45" s="66" t="s">
        <v>278</v>
      </c>
    </row>
    <row r="46" spans="2:4" x14ac:dyDescent="0.2">
      <c r="B46" s="66" t="s">
        <v>279</v>
      </c>
    </row>
    <row r="47" spans="2:4" x14ac:dyDescent="0.2">
      <c r="B47" s="66" t="s">
        <v>280</v>
      </c>
    </row>
    <row r="49" spans="1:2" x14ac:dyDescent="0.2">
      <c r="A49" s="6" t="s">
        <v>25</v>
      </c>
      <c r="B49" s="6" t="s">
        <v>281</v>
      </c>
    </row>
    <row r="50" spans="1:2" x14ac:dyDescent="0.2">
      <c r="B50" s="6" t="s">
        <v>282</v>
      </c>
    </row>
  </sheetData>
  <conditionalFormatting sqref="B1">
    <cfRule type="cellIs" dxfId="17" priority="1" operator="equal">
      <formula>"Finished"</formula>
    </cfRule>
  </conditionalFormatting>
  <dataValidations count="1">
    <dataValidation type="list" allowBlank="1" showInputMessage="1" showErrorMessage="1" sqref="B1" xr:uid="{7A422953-B012-400F-B782-96DF2615C5B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1AC0-162A-4AA4-B156-B79C531EACD7}">
  <dimension ref="A1:K22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65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74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 t="s">
        <v>66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22" t="s">
        <v>67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8" t="s">
        <v>68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22" t="s">
        <v>69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2">
      <c r="A10" s="10"/>
      <c r="B10" s="8" t="s">
        <v>70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22" t="s">
        <v>71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 t="s">
        <v>72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22" t="s">
        <v>73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ht="15" thickBot="1" x14ac:dyDescent="0.25">
      <c r="A14" s="11"/>
      <c r="B14" s="12"/>
      <c r="C14" s="13"/>
      <c r="D14" s="13"/>
      <c r="E14" s="13"/>
      <c r="F14" s="12"/>
      <c r="G14" s="12"/>
      <c r="H14" s="12"/>
      <c r="I14" s="12"/>
      <c r="J14" s="12"/>
      <c r="K14" s="14"/>
    </row>
    <row r="16" spans="1:11" x14ac:dyDescent="0.2">
      <c r="B16" s="6" t="s">
        <v>283</v>
      </c>
    </row>
    <row r="17" spans="2:2" x14ac:dyDescent="0.2">
      <c r="B17" s="6" t="s">
        <v>284</v>
      </c>
    </row>
    <row r="18" spans="2:2" x14ac:dyDescent="0.2">
      <c r="B18" s="6" t="s">
        <v>285</v>
      </c>
    </row>
    <row r="19" spans="2:2" x14ac:dyDescent="0.2">
      <c r="B19" s="6" t="s">
        <v>286</v>
      </c>
    </row>
    <row r="20" spans="2:2" x14ac:dyDescent="0.2">
      <c r="B20" s="6" t="s">
        <v>287</v>
      </c>
    </row>
    <row r="21" spans="2:2" x14ac:dyDescent="0.2">
      <c r="B21" s="6" t="s">
        <v>288</v>
      </c>
    </row>
    <row r="22" spans="2:2" x14ac:dyDescent="0.2">
      <c r="B22" s="6" t="s">
        <v>289</v>
      </c>
    </row>
  </sheetData>
  <conditionalFormatting sqref="B1">
    <cfRule type="cellIs" dxfId="16" priority="1" operator="equal">
      <formula>"Finished"</formula>
    </cfRule>
  </conditionalFormatting>
  <dataValidations disablePrompts="1" count="1">
    <dataValidation type="list" allowBlank="1" showInputMessage="1" showErrorMessage="1" sqref="B1" xr:uid="{09D39A31-94AE-4011-8315-66AE449707E4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A4E1E-489C-4C8A-AFAB-C9E0F9C1F870}">
  <dimension ref="A1:K40"/>
  <sheetViews>
    <sheetView zoomScaleNormal="100" workbookViewId="0"/>
  </sheetViews>
  <sheetFormatPr defaultColWidth="8.85546875" defaultRowHeight="14.25" x14ac:dyDescent="0.2"/>
  <cols>
    <col min="1" max="1" width="18.1406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75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76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71.25" x14ac:dyDescent="0.2">
      <c r="A6" s="10"/>
      <c r="B6" s="27" t="s">
        <v>77</v>
      </c>
      <c r="C6" s="27" t="s">
        <v>78</v>
      </c>
      <c r="D6" s="27" t="s">
        <v>79</v>
      </c>
      <c r="E6" s="27" t="s">
        <v>7</v>
      </c>
      <c r="F6" s="27" t="s">
        <v>62</v>
      </c>
      <c r="G6" s="8"/>
      <c r="H6" s="8"/>
      <c r="I6" s="8"/>
      <c r="J6" s="8"/>
      <c r="K6" s="9"/>
    </row>
    <row r="7" spans="1:11" x14ac:dyDescent="0.2">
      <c r="A7" s="10"/>
      <c r="B7" s="15" t="s">
        <v>12</v>
      </c>
      <c r="C7" s="15" t="s">
        <v>80</v>
      </c>
      <c r="D7" s="28">
        <v>375000</v>
      </c>
      <c r="E7" s="28">
        <v>2500</v>
      </c>
      <c r="F7" s="15">
        <v>200</v>
      </c>
      <c r="G7" s="8"/>
      <c r="H7" s="8"/>
      <c r="I7" s="8"/>
      <c r="J7" s="8"/>
      <c r="K7" s="9"/>
    </row>
    <row r="8" spans="1:11" x14ac:dyDescent="0.2">
      <c r="A8" s="10"/>
      <c r="B8" s="15" t="s">
        <v>13</v>
      </c>
      <c r="C8" s="15">
        <v>2</v>
      </c>
      <c r="D8" s="28">
        <v>15000</v>
      </c>
      <c r="E8" s="15">
        <v>100</v>
      </c>
      <c r="F8" s="15">
        <v>12</v>
      </c>
      <c r="G8" s="8"/>
      <c r="H8" s="8"/>
      <c r="I8" s="8"/>
      <c r="J8" s="8"/>
      <c r="K8" s="9"/>
    </row>
    <row r="9" spans="1:11" x14ac:dyDescent="0.2">
      <c r="A9" s="10"/>
      <c r="B9" s="15" t="s">
        <v>14</v>
      </c>
      <c r="C9" s="15">
        <v>1</v>
      </c>
      <c r="D9" s="28">
        <v>22500</v>
      </c>
      <c r="E9" s="15">
        <v>150</v>
      </c>
      <c r="F9" s="15">
        <v>20</v>
      </c>
      <c r="G9" s="8"/>
      <c r="H9" s="8"/>
      <c r="I9" s="8"/>
      <c r="J9" s="8"/>
      <c r="K9" s="9"/>
    </row>
    <row r="10" spans="1:11" x14ac:dyDescent="0.2">
      <c r="A10" s="10"/>
      <c r="B10" s="15" t="s">
        <v>15</v>
      </c>
      <c r="C10" s="15">
        <v>0</v>
      </c>
      <c r="D10" s="28">
        <v>37500</v>
      </c>
      <c r="E10" s="15">
        <v>250</v>
      </c>
      <c r="F10" s="15">
        <v>38</v>
      </c>
      <c r="G10" s="8"/>
      <c r="H10" s="8"/>
      <c r="I10" s="8"/>
      <c r="J10" s="8"/>
      <c r="K10" s="9"/>
    </row>
    <row r="11" spans="1:11" x14ac:dyDescent="0.2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 t="s">
        <v>81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82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>
        <v>1</v>
      </c>
      <c r="B15" s="8" t="s">
        <v>22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 t="s">
        <v>83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>
        <v>1</v>
      </c>
      <c r="B18" s="8" t="s">
        <v>25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84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2">
      <c r="A21" s="10">
        <v>1</v>
      </c>
      <c r="B21" s="8" t="s">
        <v>28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">
      <c r="A22" s="10"/>
      <c r="B22" s="8" t="s">
        <v>85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5" thickBot="1" x14ac:dyDescent="0.25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  <row r="25" spans="1:11" x14ac:dyDescent="0.2">
      <c r="B25" s="66" t="s">
        <v>268</v>
      </c>
    </row>
    <row r="26" spans="1:11" x14ac:dyDescent="0.2">
      <c r="B26" s="66" t="s">
        <v>269</v>
      </c>
    </row>
    <row r="28" spans="1:11" x14ac:dyDescent="0.2">
      <c r="A28" s="6" t="s">
        <v>22</v>
      </c>
      <c r="B28" s="6" t="s">
        <v>290</v>
      </c>
      <c r="C28" s="6">
        <f>SUM(F7:F10)/SUM(D7:D10)</f>
        <v>5.9999999999999995E-4</v>
      </c>
    </row>
    <row r="29" spans="1:11" x14ac:dyDescent="0.2">
      <c r="B29" s="6" t="s">
        <v>291</v>
      </c>
      <c r="C29" s="6">
        <f>F7/D7</f>
        <v>5.3333333333333336E-4</v>
      </c>
    </row>
    <row r="31" spans="1:11" x14ac:dyDescent="0.2">
      <c r="B31" s="6" t="s">
        <v>292</v>
      </c>
      <c r="C31" s="6">
        <f>C29/C28</f>
        <v>0.88888888888888906</v>
      </c>
    </row>
    <row r="32" spans="1:11" x14ac:dyDescent="0.2">
      <c r="B32" s="63" t="s">
        <v>293</v>
      </c>
      <c r="C32" s="67">
        <f>1-C31</f>
        <v>0.11111111111111094</v>
      </c>
    </row>
    <row r="34" spans="1:3" x14ac:dyDescent="0.2">
      <c r="A34" s="6" t="s">
        <v>25</v>
      </c>
      <c r="B34" s="6" t="s">
        <v>294</v>
      </c>
      <c r="C34" s="6">
        <f>SUM(F7:F9)/SUM(D7:D9)</f>
        <v>5.6242424242424242E-4</v>
      </c>
    </row>
    <row r="36" spans="1:3" x14ac:dyDescent="0.2">
      <c r="B36" s="6" t="s">
        <v>295</v>
      </c>
      <c r="C36" s="65">
        <f>C34/C28</f>
        <v>0.93737373737373741</v>
      </c>
    </row>
    <row r="37" spans="1:3" x14ac:dyDescent="0.2">
      <c r="B37" s="63" t="s">
        <v>296</v>
      </c>
      <c r="C37" s="67">
        <f>1-C36</f>
        <v>6.2626262626262585E-2</v>
      </c>
    </row>
    <row r="39" spans="1:3" x14ac:dyDescent="0.2">
      <c r="A39" s="6" t="s">
        <v>28</v>
      </c>
      <c r="B39" s="6" t="s">
        <v>281</v>
      </c>
    </row>
    <row r="40" spans="1:3" x14ac:dyDescent="0.2">
      <c r="B40" s="6" t="s">
        <v>282</v>
      </c>
    </row>
  </sheetData>
  <conditionalFormatting sqref="B1">
    <cfRule type="cellIs" dxfId="15" priority="1" operator="equal">
      <formula>"Finished"</formula>
    </cfRule>
  </conditionalFormatting>
  <dataValidations disablePrompts="1" count="1">
    <dataValidation type="list" allowBlank="1" showInputMessage="1" showErrorMessage="1" sqref="B1" xr:uid="{7AECC486-5689-4479-B22F-7B5A0510F0CE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3369-B332-4983-A29E-BD4E565C0EDF}">
  <dimension ref="A1:K21"/>
  <sheetViews>
    <sheetView zoomScaleNormal="100" workbookViewId="0"/>
  </sheetViews>
  <sheetFormatPr defaultColWidth="8.85546875" defaultRowHeight="14.25" x14ac:dyDescent="0.2"/>
  <cols>
    <col min="1" max="1" width="24.5703125" style="6" bestFit="1" customWidth="1"/>
    <col min="2" max="2" width="15" style="6" customWidth="1"/>
    <col min="3" max="3" width="14" style="6" customWidth="1"/>
    <col min="4" max="4" width="15" style="6" bestFit="1" customWidth="1"/>
    <col min="5" max="5" width="13.42578125" style="6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86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 t="s">
        <v>87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71.25" x14ac:dyDescent="0.2">
      <c r="A6" s="10"/>
      <c r="B6" s="17" t="s">
        <v>77</v>
      </c>
      <c r="C6" s="17" t="s">
        <v>88</v>
      </c>
      <c r="D6" s="17" t="s">
        <v>7</v>
      </c>
      <c r="E6" s="17" t="s">
        <v>8</v>
      </c>
      <c r="F6" s="17" t="s">
        <v>62</v>
      </c>
      <c r="G6" s="8"/>
      <c r="H6" s="8"/>
      <c r="I6" s="8"/>
      <c r="J6" s="8"/>
      <c r="K6" s="9"/>
    </row>
    <row r="7" spans="1:11" x14ac:dyDescent="0.2">
      <c r="A7" s="10"/>
      <c r="B7" s="18" t="s">
        <v>12</v>
      </c>
      <c r="C7" s="18" t="s">
        <v>89</v>
      </c>
      <c r="D7" s="19">
        <v>10000</v>
      </c>
      <c r="E7" s="20">
        <v>1000000</v>
      </c>
      <c r="F7" s="19">
        <v>1000</v>
      </c>
      <c r="G7" s="8"/>
      <c r="H7" s="8"/>
      <c r="I7" s="8"/>
      <c r="J7" s="8"/>
      <c r="K7" s="9"/>
    </row>
    <row r="8" spans="1:11" x14ac:dyDescent="0.2">
      <c r="A8" s="10"/>
      <c r="B8" s="18" t="s">
        <v>13</v>
      </c>
      <c r="C8" s="18">
        <v>2</v>
      </c>
      <c r="D8" s="19">
        <v>7000</v>
      </c>
      <c r="E8" s="20">
        <v>770000</v>
      </c>
      <c r="F8" s="19">
        <v>1155</v>
      </c>
      <c r="G8" s="8"/>
      <c r="H8" s="8"/>
      <c r="I8" s="8"/>
      <c r="J8" s="8"/>
      <c r="K8" s="9"/>
    </row>
    <row r="9" spans="1:11" x14ac:dyDescent="0.2">
      <c r="A9" s="10"/>
      <c r="B9" s="18" t="s">
        <v>14</v>
      </c>
      <c r="C9" s="18">
        <v>1</v>
      </c>
      <c r="D9" s="19">
        <v>5000</v>
      </c>
      <c r="E9" s="20">
        <v>625000</v>
      </c>
      <c r="F9" s="19">
        <v>1250</v>
      </c>
      <c r="G9" s="8"/>
      <c r="H9" s="8"/>
      <c r="I9" s="8"/>
      <c r="J9" s="8"/>
      <c r="K9" s="9"/>
    </row>
    <row r="10" spans="1:11" x14ac:dyDescent="0.2">
      <c r="A10" s="10"/>
      <c r="B10" s="18" t="s">
        <v>15</v>
      </c>
      <c r="C10" s="18">
        <v>0</v>
      </c>
      <c r="D10" s="19">
        <v>2000</v>
      </c>
      <c r="E10" s="20">
        <v>400000</v>
      </c>
      <c r="F10" s="19">
        <v>1000</v>
      </c>
      <c r="G10" s="8"/>
      <c r="H10" s="8"/>
      <c r="I10" s="8"/>
      <c r="J10" s="8"/>
      <c r="K10" s="9"/>
    </row>
    <row r="11" spans="1:11" x14ac:dyDescent="0.2">
      <c r="A11" s="10"/>
      <c r="B11" s="18" t="s">
        <v>16</v>
      </c>
      <c r="C11" s="18"/>
      <c r="D11" s="19">
        <v>24000</v>
      </c>
      <c r="E11" s="20">
        <v>2795000</v>
      </c>
      <c r="F11" s="19">
        <v>4405</v>
      </c>
      <c r="G11" s="8"/>
      <c r="H11" s="8"/>
      <c r="I11" s="8"/>
      <c r="J11" s="8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90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ht="15" thickBot="1" x14ac:dyDescent="0.25">
      <c r="A14" s="11"/>
      <c r="B14" s="12"/>
      <c r="C14" s="13"/>
      <c r="D14" s="13"/>
      <c r="E14" s="13"/>
      <c r="F14" s="12"/>
      <c r="G14" s="12"/>
      <c r="H14" s="12"/>
      <c r="I14" s="12"/>
      <c r="J14" s="12"/>
      <c r="K14" s="14"/>
    </row>
    <row r="16" spans="1:11" x14ac:dyDescent="0.2">
      <c r="B16" s="66" t="s">
        <v>268</v>
      </c>
    </row>
    <row r="17" spans="2:3" x14ac:dyDescent="0.2">
      <c r="B17" s="66" t="s">
        <v>269</v>
      </c>
    </row>
    <row r="19" spans="2:3" x14ac:dyDescent="0.2">
      <c r="B19" s="6" t="s">
        <v>274</v>
      </c>
      <c r="C19" s="69">
        <f>SUM(F7:F9)/SUM(E7:E9)/(F11/E11)</f>
        <v>0.90208507603098587</v>
      </c>
    </row>
    <row r="21" spans="2:3" x14ac:dyDescent="0.2">
      <c r="B21" s="6" t="s">
        <v>247</v>
      </c>
      <c r="C21" s="69">
        <f>1-C19</f>
        <v>9.7914923969014134E-2</v>
      </c>
    </row>
  </sheetData>
  <conditionalFormatting sqref="B1">
    <cfRule type="cellIs" dxfId="14" priority="1" operator="equal">
      <formula>"Finished"</formula>
    </cfRule>
  </conditionalFormatting>
  <dataValidations count="1">
    <dataValidation type="list" allowBlank="1" showInputMessage="1" showErrorMessage="1" sqref="B1" xr:uid="{E4716BD1-43B5-4A16-BC1D-DB9F62254081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81FCC-68DD-4B9C-8ECB-21D5212FA969}">
  <dimension ref="A1:K40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4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91</v>
      </c>
      <c r="B1" s="2" t="s">
        <v>241</v>
      </c>
      <c r="C1" s="3"/>
      <c r="D1" s="4" t="s">
        <v>55</v>
      </c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>
        <v>2</v>
      </c>
      <c r="B5" s="8" t="s">
        <v>22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 t="s">
        <v>87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x14ac:dyDescent="0.2">
      <c r="A8" s="10"/>
      <c r="B8" s="8"/>
      <c r="C8" s="8" t="s">
        <v>92</v>
      </c>
      <c r="D8" s="8"/>
      <c r="E8" s="8"/>
      <c r="F8" s="8"/>
      <c r="G8" s="8"/>
      <c r="H8" s="8"/>
      <c r="I8" s="8"/>
      <c r="J8" s="8"/>
      <c r="K8" s="9"/>
    </row>
    <row r="9" spans="1:11" x14ac:dyDescent="0.2">
      <c r="A9" s="10"/>
      <c r="B9" s="8"/>
      <c r="C9" s="8" t="s">
        <v>93</v>
      </c>
      <c r="D9" s="8"/>
      <c r="E9" s="8"/>
      <c r="F9" s="8"/>
      <c r="G9" s="8"/>
      <c r="H9" s="8"/>
      <c r="I9" s="8"/>
      <c r="J9" s="8"/>
      <c r="K9" s="9"/>
    </row>
    <row r="10" spans="1:11" x14ac:dyDescent="0.2">
      <c r="A10" s="10"/>
      <c r="B10" s="8"/>
      <c r="C10" s="8" t="s">
        <v>94</v>
      </c>
      <c r="D10" s="8"/>
      <c r="E10" s="8"/>
      <c r="F10" s="8"/>
      <c r="G10" s="8"/>
      <c r="H10" s="8"/>
      <c r="I10" s="8"/>
      <c r="J10" s="8"/>
      <c r="K10" s="9"/>
    </row>
    <row r="11" spans="1:11" x14ac:dyDescent="0.2">
      <c r="A11" s="10"/>
      <c r="B11" s="8"/>
      <c r="C11" s="29" t="s">
        <v>95</v>
      </c>
      <c r="D11" s="8"/>
      <c r="E11" s="8"/>
      <c r="F11" s="8"/>
      <c r="G11" s="8"/>
      <c r="H11" s="8"/>
      <c r="I11" s="8"/>
      <c r="J11" s="8"/>
      <c r="K11" s="9"/>
    </row>
    <row r="12" spans="1:11" x14ac:dyDescent="0.2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2">
      <c r="A13" s="10"/>
      <c r="B13" s="8" t="s">
        <v>96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97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 t="s">
        <v>98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>
        <v>1</v>
      </c>
      <c r="B18" s="8" t="s">
        <v>25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99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">
      <c r="A20" s="10"/>
      <c r="B20" s="8" t="s">
        <v>100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ht="15" thickBot="1" x14ac:dyDescent="0.25">
      <c r="A21" s="11"/>
      <c r="B21" s="12"/>
      <c r="C21" s="13"/>
      <c r="D21" s="13"/>
      <c r="E21" s="13"/>
      <c r="F21" s="12"/>
      <c r="G21" s="12"/>
      <c r="H21" s="12"/>
      <c r="I21" s="12"/>
      <c r="J21" s="12"/>
      <c r="K21" s="14"/>
    </row>
    <row r="23" spans="1:11" x14ac:dyDescent="0.2">
      <c r="A23" s="6" t="s">
        <v>22</v>
      </c>
      <c r="B23" s="6" t="s">
        <v>297</v>
      </c>
    </row>
    <row r="25" spans="1:11" x14ac:dyDescent="0.2">
      <c r="B25" s="6" t="s">
        <v>298</v>
      </c>
    </row>
    <row r="26" spans="1:11" x14ac:dyDescent="0.2">
      <c r="B26" s="6" t="s">
        <v>299</v>
      </c>
    </row>
    <row r="28" spans="1:11" x14ac:dyDescent="0.2">
      <c r="B28" s="6" t="s">
        <v>300</v>
      </c>
    </row>
    <row r="29" spans="1:11" x14ac:dyDescent="0.2">
      <c r="B29" s="6" t="s">
        <v>301</v>
      </c>
    </row>
    <row r="31" spans="1:11" x14ac:dyDescent="0.2">
      <c r="B31" s="6" t="s">
        <v>302</v>
      </c>
    </row>
    <row r="32" spans="1:11" x14ac:dyDescent="0.2">
      <c r="B32" s="6" t="s">
        <v>303</v>
      </c>
    </row>
    <row r="34" spans="1:2" x14ac:dyDescent="0.2">
      <c r="B34" s="6" t="s">
        <v>304</v>
      </c>
    </row>
    <row r="36" spans="1:2" x14ac:dyDescent="0.2">
      <c r="B36" s="6" t="s">
        <v>305</v>
      </c>
    </row>
    <row r="38" spans="1:2" x14ac:dyDescent="0.2">
      <c r="A38" s="6" t="s">
        <v>25</v>
      </c>
      <c r="B38" s="6" t="s">
        <v>306</v>
      </c>
    </row>
    <row r="39" spans="1:2" x14ac:dyDescent="0.2">
      <c r="B39" s="6" t="s">
        <v>307</v>
      </c>
    </row>
    <row r="40" spans="1:2" x14ac:dyDescent="0.2">
      <c r="B40" s="6" t="s">
        <v>308</v>
      </c>
    </row>
  </sheetData>
  <conditionalFormatting sqref="B1">
    <cfRule type="cellIs" dxfId="13" priority="1" operator="equal">
      <formula>"Finished"</formula>
    </cfRule>
  </conditionalFormatting>
  <dataValidations disablePrompts="1" count="1">
    <dataValidation type="list" allowBlank="1" showInputMessage="1" showErrorMessage="1" sqref="B1" xr:uid="{F2822CCC-2C16-48BF-8E9F-8A9D8109A89B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BFDD-873E-427E-B90F-9A566EEB1154}">
  <dimension ref="A1:K42"/>
  <sheetViews>
    <sheetView zoomScaleNormal="100" workbookViewId="0"/>
  </sheetViews>
  <sheetFormatPr defaultColWidth="8.85546875" defaultRowHeight="14.25" x14ac:dyDescent="0.2"/>
  <cols>
    <col min="1" max="1" width="17" style="6" bestFit="1" customWidth="1"/>
    <col min="2" max="2" width="15" style="6" customWidth="1"/>
    <col min="3" max="3" width="15.7109375" style="6" customWidth="1"/>
    <col min="4" max="4" width="15" style="6" bestFit="1" customWidth="1"/>
    <col min="5" max="5" width="12.42578125" style="6" bestFit="1" customWidth="1"/>
    <col min="6" max="6" width="12" style="6" bestFit="1" customWidth="1"/>
    <col min="7" max="7" width="15.28515625" style="6" bestFit="1" customWidth="1"/>
    <col min="8" max="8" width="9" style="6" customWidth="1"/>
    <col min="9" max="11" width="9.28515625" style="6" customWidth="1"/>
    <col min="12" max="16384" width="8.85546875" style="6"/>
  </cols>
  <sheetData>
    <row r="1" spans="1:11" ht="15" thickBot="1" x14ac:dyDescent="0.25">
      <c r="A1" s="1" t="s">
        <v>101</v>
      </c>
      <c r="B1" s="2" t="s">
        <v>241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2">
      <c r="A3" s="10">
        <v>4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2">
      <c r="A5" s="10">
        <v>3</v>
      </c>
      <c r="B5" s="8" t="s">
        <v>22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2">
      <c r="A6" s="10"/>
      <c r="B6" s="8" t="s">
        <v>102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71.25" x14ac:dyDescent="0.2">
      <c r="A8" s="10"/>
      <c r="B8" s="17" t="s">
        <v>103</v>
      </c>
      <c r="C8" s="17" t="s">
        <v>104</v>
      </c>
      <c r="D8" s="17" t="s">
        <v>105</v>
      </c>
      <c r="E8" s="17" t="s">
        <v>9</v>
      </c>
      <c r="F8" s="8"/>
      <c r="G8" s="8"/>
      <c r="H8" s="8"/>
      <c r="I8" s="8"/>
      <c r="J8" s="8"/>
      <c r="K8" s="9"/>
    </row>
    <row r="9" spans="1:11" x14ac:dyDescent="0.2">
      <c r="A9" s="10"/>
      <c r="B9" s="18" t="s">
        <v>12</v>
      </c>
      <c r="C9" s="18">
        <v>3</v>
      </c>
      <c r="D9" s="20">
        <v>25000000</v>
      </c>
      <c r="E9" s="19">
        <v>40000</v>
      </c>
      <c r="F9" s="8"/>
      <c r="G9" s="8"/>
      <c r="H9" s="8"/>
      <c r="I9" s="8"/>
      <c r="J9" s="8"/>
      <c r="K9" s="9"/>
    </row>
    <row r="10" spans="1:11" x14ac:dyDescent="0.2">
      <c r="A10" s="10"/>
      <c r="B10" s="18" t="s">
        <v>15</v>
      </c>
      <c r="C10" s="18">
        <v>2</v>
      </c>
      <c r="D10" s="20">
        <v>8000000</v>
      </c>
      <c r="E10" s="19">
        <v>15000</v>
      </c>
      <c r="F10" s="8"/>
      <c r="G10" s="8"/>
      <c r="H10" s="8"/>
      <c r="I10" s="8"/>
      <c r="J10" s="8"/>
      <c r="K10" s="9"/>
    </row>
    <row r="11" spans="1:11" x14ac:dyDescent="0.2">
      <c r="A11" s="10"/>
      <c r="B11" s="18" t="s">
        <v>106</v>
      </c>
      <c r="C11" s="18">
        <v>1</v>
      </c>
      <c r="D11" s="20">
        <v>13000000</v>
      </c>
      <c r="E11" s="19">
        <v>25000</v>
      </c>
      <c r="F11" s="8"/>
      <c r="G11" s="8"/>
      <c r="H11" s="8"/>
      <c r="I11" s="8"/>
      <c r="J11" s="8"/>
      <c r="K11" s="9"/>
    </row>
    <row r="12" spans="1:11" x14ac:dyDescent="0.2">
      <c r="A12" s="10"/>
      <c r="B12" s="18" t="s">
        <v>107</v>
      </c>
      <c r="C12" s="18">
        <v>0</v>
      </c>
      <c r="D12" s="20">
        <v>8000000</v>
      </c>
      <c r="E12" s="19">
        <v>30000</v>
      </c>
      <c r="F12" s="8"/>
      <c r="G12" s="8"/>
      <c r="H12" s="8"/>
      <c r="I12" s="8"/>
      <c r="J12" s="8"/>
      <c r="K12" s="9"/>
    </row>
    <row r="13" spans="1:11" x14ac:dyDescent="0.2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2">
      <c r="A14" s="10"/>
      <c r="B14" s="8" t="s">
        <v>108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2">
      <c r="A15" s="10"/>
      <c r="B15" s="8" t="s">
        <v>109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2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2">
      <c r="A17" s="10">
        <v>1</v>
      </c>
      <c r="B17" s="8" t="s">
        <v>25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">
      <c r="A18" s="10"/>
      <c r="B18" s="8" t="s">
        <v>110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2">
      <c r="A19" s="10"/>
      <c r="B19" s="8" t="s">
        <v>111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ht="15" thickBot="1" x14ac:dyDescent="0.25">
      <c r="A20" s="11"/>
      <c r="B20" s="12"/>
      <c r="C20" s="13"/>
      <c r="D20" s="13"/>
      <c r="E20" s="13"/>
      <c r="F20" s="12"/>
      <c r="G20" s="12"/>
      <c r="H20" s="12"/>
      <c r="I20" s="12"/>
      <c r="J20" s="12"/>
      <c r="K20" s="14"/>
    </row>
    <row r="22" spans="1:11" x14ac:dyDescent="0.2">
      <c r="A22" s="6" t="s">
        <v>22</v>
      </c>
      <c r="B22" s="63" t="s">
        <v>309</v>
      </c>
    </row>
    <row r="24" spans="1:11" x14ac:dyDescent="0.2">
      <c r="B24" s="6" t="s">
        <v>310</v>
      </c>
    </row>
    <row r="25" spans="1:11" x14ac:dyDescent="0.2">
      <c r="B25" s="6" t="s">
        <v>273</v>
      </c>
    </row>
    <row r="27" spans="1:11" x14ac:dyDescent="0.2">
      <c r="B27" s="6" t="s">
        <v>103</v>
      </c>
      <c r="C27" s="6" t="s">
        <v>312</v>
      </c>
      <c r="D27" s="6" t="s">
        <v>313</v>
      </c>
      <c r="E27" s="6" t="s">
        <v>314</v>
      </c>
      <c r="F27" s="6" t="s">
        <v>274</v>
      </c>
      <c r="G27" s="6" t="s">
        <v>247</v>
      </c>
    </row>
    <row r="28" spans="1:11" x14ac:dyDescent="0.2">
      <c r="B28" s="6" t="s">
        <v>80</v>
      </c>
      <c r="C28" s="59">
        <f>SUM(D$9:D9)</f>
        <v>25000000</v>
      </c>
      <c r="D28" s="70">
        <f>SUM(E$9:E9)</f>
        <v>40000</v>
      </c>
      <c r="E28" s="71">
        <f>D28/C28</f>
        <v>1.6000000000000001E-3</v>
      </c>
      <c r="F28" s="6">
        <f>E28/E$31</f>
        <v>0.78545454545454552</v>
      </c>
      <c r="G28" s="62">
        <f>1-F28</f>
        <v>0.21454545454545448</v>
      </c>
    </row>
    <row r="29" spans="1:11" x14ac:dyDescent="0.2">
      <c r="B29" s="6" t="s">
        <v>167</v>
      </c>
      <c r="C29" s="59">
        <f>SUM(D$9:D10)</f>
        <v>33000000</v>
      </c>
      <c r="D29" s="70">
        <f>SUM(E$9:E10)</f>
        <v>55000</v>
      </c>
      <c r="E29" s="71">
        <f t="shared" ref="E29:E31" si="0">D29/C29</f>
        <v>1.6666666666666668E-3</v>
      </c>
      <c r="F29" s="6">
        <f t="shared" ref="F29:F30" si="1">E29/E$31</f>
        <v>0.81818181818181834</v>
      </c>
      <c r="G29" s="62">
        <f t="shared" ref="G29:G30" si="2">1-F29</f>
        <v>0.18181818181818166</v>
      </c>
    </row>
    <row r="30" spans="1:11" x14ac:dyDescent="0.2">
      <c r="B30" s="6" t="s">
        <v>311</v>
      </c>
      <c r="C30" s="59">
        <f>SUM(D$9:D11)</f>
        <v>46000000</v>
      </c>
      <c r="D30" s="70">
        <f>SUM(E$9:E11)</f>
        <v>80000</v>
      </c>
      <c r="E30" s="71">
        <f t="shared" si="0"/>
        <v>1.7391304347826088E-3</v>
      </c>
      <c r="F30" s="6">
        <f t="shared" si="1"/>
        <v>0.85375494071146252</v>
      </c>
      <c r="G30" s="62">
        <f t="shared" si="2"/>
        <v>0.14624505928853748</v>
      </c>
    </row>
    <row r="31" spans="1:11" x14ac:dyDescent="0.2">
      <c r="B31" s="6" t="s">
        <v>16</v>
      </c>
      <c r="C31" s="59">
        <f>SUM(D9:D12)</f>
        <v>54000000</v>
      </c>
      <c r="D31" s="70">
        <f>SUM(E9:E12)</f>
        <v>110000</v>
      </c>
      <c r="E31" s="71">
        <f t="shared" si="0"/>
        <v>2.0370370370370369E-3</v>
      </c>
    </row>
    <row r="33" spans="1:5" x14ac:dyDescent="0.2">
      <c r="B33" s="63" t="s">
        <v>315</v>
      </c>
    </row>
    <row r="35" spans="1:5" x14ac:dyDescent="0.2">
      <c r="B35" s="72" t="s">
        <v>103</v>
      </c>
      <c r="C35" s="6" t="s">
        <v>314</v>
      </c>
      <c r="D35" s="6" t="s">
        <v>274</v>
      </c>
      <c r="E35" s="6" t="s">
        <v>247</v>
      </c>
    </row>
    <row r="36" spans="1:5" x14ac:dyDescent="0.2">
      <c r="B36" s="72">
        <v>3</v>
      </c>
      <c r="C36" s="71">
        <f>E9/D9</f>
        <v>1.6000000000000001E-3</v>
      </c>
      <c r="D36" s="6">
        <f>C36/C$39</f>
        <v>0.78545454545454552</v>
      </c>
      <c r="E36" s="62">
        <f>1-D36</f>
        <v>0.21454545454545448</v>
      </c>
    </row>
    <row r="37" spans="1:5" x14ac:dyDescent="0.2">
      <c r="B37" s="72">
        <v>2</v>
      </c>
      <c r="C37" s="71">
        <f t="shared" ref="C37:C38" si="3">E10/D10</f>
        <v>1.8749999999999999E-3</v>
      </c>
      <c r="D37" s="6">
        <f t="shared" ref="D37:D38" si="4">C37/C$39</f>
        <v>0.92045454545454553</v>
      </c>
      <c r="E37" s="62">
        <f t="shared" ref="E37:E38" si="5">1-D37</f>
        <v>7.9545454545454475E-2</v>
      </c>
    </row>
    <row r="38" spans="1:5" x14ac:dyDescent="0.2">
      <c r="B38" s="72">
        <v>1</v>
      </c>
      <c r="C38" s="71">
        <f t="shared" si="3"/>
        <v>1.9230769230769232E-3</v>
      </c>
      <c r="D38" s="6">
        <f t="shared" si="4"/>
        <v>0.94405594405594417</v>
      </c>
      <c r="E38" s="62">
        <f t="shared" si="5"/>
        <v>5.5944055944055826E-2</v>
      </c>
    </row>
    <row r="39" spans="1:5" x14ac:dyDescent="0.2">
      <c r="B39" s="72" t="s">
        <v>16</v>
      </c>
      <c r="C39" s="71">
        <f>SUM(E9:E12)/SUM(D9:D12)</f>
        <v>2.0370370370370369E-3</v>
      </c>
    </row>
    <row r="41" spans="1:5" x14ac:dyDescent="0.2">
      <c r="A41" s="6" t="s">
        <v>25</v>
      </c>
      <c r="B41" s="6" t="s">
        <v>316</v>
      </c>
    </row>
    <row r="42" spans="1:5" x14ac:dyDescent="0.2">
      <c r="B42" s="6" t="s">
        <v>317</v>
      </c>
    </row>
  </sheetData>
  <conditionalFormatting sqref="B1">
    <cfRule type="cellIs" dxfId="12" priority="1" operator="equal">
      <formula>"Finished"</formula>
    </cfRule>
  </conditionalFormatting>
  <dataValidations disablePrompts="1" count="1">
    <dataValidation type="list" allowBlank="1" showInputMessage="1" showErrorMessage="1" sqref="B1" xr:uid="{93584825-603F-407E-9407-494545ECEB55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2000 Exam 9 - Q32</vt:lpstr>
      <vt:lpstr>2001 Exam 9 - Q2 revised</vt:lpstr>
      <vt:lpstr>2001 Exam 9 - Q22</vt:lpstr>
      <vt:lpstr>2002 Exam 9 - Q47</vt:lpstr>
      <vt:lpstr>2003 Exam 9 - Q2</vt:lpstr>
      <vt:lpstr>2003 Exam 9 - Q22</vt:lpstr>
      <vt:lpstr>2004 Exam 9 - Q2 revised</vt:lpstr>
      <vt:lpstr>2005 Exam 9 - Q3</vt:lpstr>
      <vt:lpstr>2006 Exam 9 - Q2</vt:lpstr>
      <vt:lpstr>2007 Exam 9 - Q2</vt:lpstr>
      <vt:lpstr>2008 Exam 9 - Q5</vt:lpstr>
      <vt:lpstr>2009 Exam 9 - Q4</vt:lpstr>
      <vt:lpstr>2010 Exam 9 - Q5</vt:lpstr>
      <vt:lpstr>2011 Exam 8 - Q1</vt:lpstr>
      <vt:lpstr>2012 Exam 8 - Q6</vt:lpstr>
      <vt:lpstr>2014 Exam 8 - Q5</vt:lpstr>
      <vt:lpstr>2015 Exam 8 - Q1</vt:lpstr>
      <vt:lpstr>2016 Exam 8 - Q1</vt:lpstr>
      <vt:lpstr>2017 Exam 8 - Q3</vt:lpstr>
      <vt:lpstr>2018 Exam 8 - Q3</vt:lpstr>
      <vt:lpstr>2019 Exam 8 - Q3 revised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Taub</dc:creator>
  <cp:lastModifiedBy>Joshua Taub</cp:lastModifiedBy>
  <cp:lastPrinted>2020-07-12T02:19:31Z</cp:lastPrinted>
  <dcterms:created xsi:type="dcterms:W3CDTF">2017-11-23T12:53:40Z</dcterms:created>
  <dcterms:modified xsi:type="dcterms:W3CDTF">2023-08-31T15:37:57Z</dcterms:modified>
</cp:coreProperties>
</file>